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Users/katrivintisa/Desktop/Desktop/Atlīdzība/Paraugnoteikumi_2022/"/>
    </mc:Choice>
  </mc:AlternateContent>
  <xr:revisionPtr revIDLastSave="0" documentId="8_{0633BD03-0ED2-C949-B2FA-D14E53E15332}" xr6:coauthVersionLast="47" xr6:coauthVersionMax="47" xr10:uidLastSave="{00000000-0000-0000-0000-000000000000}"/>
  <bookViews>
    <workbookView xWindow="0" yWindow="500" windowWidth="28300" windowHeight="15400" activeTab="3" xr2:uid="{00000000-000D-0000-FFFF-FFFF00000000}"/>
  </bookViews>
  <sheets>
    <sheet name="kopējais" sheetId="1" state="hidden" r:id="rId1"/>
    <sheet name="pa amatiem" sheetId="2" state="hidden" r:id="rId2"/>
    <sheet name="Sheet1" sheetId="5" state="hidden" r:id="rId3"/>
    <sheet name="7 pakāpes, mix % solis " sheetId="13" r:id="rId4"/>
    <sheet name="9 pakāpes, 10 % solis" sheetId="12" r:id="rId5"/>
    <sheet name="11 pakāpes, 5 % solis" sheetId="11" r:id="rId6"/>
    <sheet name="MAG skala no 01.07.2022." sheetId="9" r:id="rId7"/>
    <sheet name="Sheet2" sheetId="8"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0" i="12" l="1"/>
  <c r="G20" i="12"/>
  <c r="H20" i="12" s="1"/>
  <c r="I20" i="12" s="1"/>
  <c r="J20" i="12" s="1"/>
  <c r="C20" i="12"/>
  <c r="K19" i="12"/>
  <c r="G19" i="12"/>
  <c r="H19" i="12" s="1"/>
  <c r="I19" i="12" s="1"/>
  <c r="J19" i="12" s="1"/>
  <c r="C19" i="12"/>
  <c r="K18" i="12"/>
  <c r="G18" i="12"/>
  <c r="H18" i="12" s="1"/>
  <c r="I18" i="12" s="1"/>
  <c r="J18" i="12" s="1"/>
  <c r="C18" i="12"/>
  <c r="K17" i="12"/>
  <c r="H17" i="12"/>
  <c r="I17" i="12" s="1"/>
  <c r="J17" i="12" s="1"/>
  <c r="G17" i="12"/>
  <c r="F17" i="12"/>
  <c r="E17" i="12"/>
  <c r="D17" i="12" s="1"/>
  <c r="C17" i="12"/>
  <c r="K16" i="12"/>
  <c r="G16" i="12"/>
  <c r="H16" i="12" s="1"/>
  <c r="I16" i="12" s="1"/>
  <c r="J16" i="12" s="1"/>
  <c r="F16" i="12"/>
  <c r="E16" i="12" s="1"/>
  <c r="D16" i="12" s="1"/>
  <c r="C16" i="12"/>
  <c r="K15" i="12"/>
  <c r="G15" i="12"/>
  <c r="H15" i="12" s="1"/>
  <c r="I15" i="12" s="1"/>
  <c r="J15" i="12" s="1"/>
  <c r="C15" i="12"/>
  <c r="K14" i="12"/>
  <c r="H14" i="12"/>
  <c r="I14" i="12" s="1"/>
  <c r="J14" i="12" s="1"/>
  <c r="G14" i="12"/>
  <c r="F14" i="12"/>
  <c r="E14" i="12" s="1"/>
  <c r="D14" i="12" s="1"/>
  <c r="C14" i="12"/>
  <c r="K13" i="12"/>
  <c r="G13" i="12"/>
  <c r="H13" i="12" s="1"/>
  <c r="I13" i="12" s="1"/>
  <c r="J13" i="12" s="1"/>
  <c r="C13" i="12"/>
  <c r="K12" i="12"/>
  <c r="H12" i="12"/>
  <c r="I12" i="12" s="1"/>
  <c r="J12" i="12" s="1"/>
  <c r="G12" i="12"/>
  <c r="F12" i="12"/>
  <c r="E12" i="12"/>
  <c r="D12" i="12" s="1"/>
  <c r="C12" i="12"/>
  <c r="K11" i="12"/>
  <c r="G11" i="12"/>
  <c r="H11" i="12" s="1"/>
  <c r="I11" i="12" s="1"/>
  <c r="J11" i="12" s="1"/>
  <c r="F11" i="12"/>
  <c r="E11" i="12" s="1"/>
  <c r="D11" i="12" s="1"/>
  <c r="C11" i="12"/>
  <c r="K10" i="12"/>
  <c r="G10" i="12"/>
  <c r="H10" i="12" s="1"/>
  <c r="I10" i="12" s="1"/>
  <c r="J10" i="12" s="1"/>
  <c r="C10" i="12"/>
  <c r="K9" i="12"/>
  <c r="H9" i="12"/>
  <c r="I9" i="12" s="1"/>
  <c r="J9" i="12" s="1"/>
  <c r="G9" i="12"/>
  <c r="F9" i="12"/>
  <c r="E9" i="12"/>
  <c r="D9" i="12" s="1"/>
  <c r="C9" i="12"/>
  <c r="K8" i="12"/>
  <c r="G8" i="12"/>
  <c r="H8" i="12" s="1"/>
  <c r="I8" i="12" s="1"/>
  <c r="J8" i="12" s="1"/>
  <c r="F8" i="12"/>
  <c r="E8" i="12" s="1"/>
  <c r="D8" i="12" s="1"/>
  <c r="C8" i="12"/>
  <c r="K7" i="12"/>
  <c r="G7" i="12"/>
  <c r="H7" i="12" s="1"/>
  <c r="I7" i="12" s="1"/>
  <c r="J7" i="12" s="1"/>
  <c r="C7" i="12"/>
  <c r="K6" i="12"/>
  <c r="H6" i="12"/>
  <c r="I6" i="12" s="1"/>
  <c r="J6" i="12" s="1"/>
  <c r="G6" i="12"/>
  <c r="F6" i="12"/>
  <c r="E6" i="12" s="1"/>
  <c r="D6" i="12" s="1"/>
  <c r="C6" i="12"/>
  <c r="K5" i="12"/>
  <c r="G5" i="12"/>
  <c r="H5" i="12" s="1"/>
  <c r="I5" i="12" s="1"/>
  <c r="J5" i="12" s="1"/>
  <c r="C5" i="12"/>
  <c r="K4" i="12"/>
  <c r="H4" i="12"/>
  <c r="I4" i="12" s="1"/>
  <c r="J4" i="12" s="1"/>
  <c r="G4" i="12"/>
  <c r="F4" i="12"/>
  <c r="E14" i="13"/>
  <c r="D14" i="13" s="1"/>
  <c r="I20" i="13"/>
  <c r="F20" i="13"/>
  <c r="G20" i="13" s="1"/>
  <c r="H20" i="13" s="1"/>
  <c r="C20" i="13"/>
  <c r="I19" i="13"/>
  <c r="F19" i="13"/>
  <c r="E19" i="13" s="1"/>
  <c r="D19" i="13" s="1"/>
  <c r="C19" i="13"/>
  <c r="I18" i="13"/>
  <c r="F18" i="13"/>
  <c r="E18" i="13" s="1"/>
  <c r="D18" i="13" s="1"/>
  <c r="C18" i="13"/>
  <c r="I17" i="13"/>
  <c r="F17" i="13"/>
  <c r="E17" i="13" s="1"/>
  <c r="D17" i="13" s="1"/>
  <c r="C17" i="13"/>
  <c r="I16" i="13"/>
  <c r="F16" i="13"/>
  <c r="G16" i="13" s="1"/>
  <c r="H16" i="13" s="1"/>
  <c r="C16" i="13"/>
  <c r="I15" i="13"/>
  <c r="F15" i="13"/>
  <c r="G15" i="13" s="1"/>
  <c r="H15" i="13" s="1"/>
  <c r="C15" i="13"/>
  <c r="I14" i="13"/>
  <c r="F14" i="13"/>
  <c r="G14" i="13" s="1"/>
  <c r="H14" i="13" s="1"/>
  <c r="C14" i="13"/>
  <c r="I13" i="13"/>
  <c r="F13" i="13"/>
  <c r="E13" i="13" s="1"/>
  <c r="D13" i="13" s="1"/>
  <c r="C13" i="13"/>
  <c r="I12" i="13"/>
  <c r="F12" i="13"/>
  <c r="E12" i="13" s="1"/>
  <c r="D12" i="13" s="1"/>
  <c r="C12" i="13"/>
  <c r="I11" i="13"/>
  <c r="F11" i="13"/>
  <c r="G11" i="13" s="1"/>
  <c r="H11" i="13" s="1"/>
  <c r="C11" i="13"/>
  <c r="I10" i="13"/>
  <c r="F10" i="13"/>
  <c r="G10" i="13" s="1"/>
  <c r="H10" i="13" s="1"/>
  <c r="C10" i="13"/>
  <c r="I9" i="13"/>
  <c r="F9" i="13"/>
  <c r="E9" i="13" s="1"/>
  <c r="D9" i="13" s="1"/>
  <c r="C9" i="13"/>
  <c r="I8" i="13"/>
  <c r="F8" i="13"/>
  <c r="G8" i="13" s="1"/>
  <c r="H8" i="13" s="1"/>
  <c r="C8" i="13"/>
  <c r="I7" i="13"/>
  <c r="F7" i="13"/>
  <c r="G7" i="13" s="1"/>
  <c r="H7" i="13" s="1"/>
  <c r="C7" i="13"/>
  <c r="I6" i="13"/>
  <c r="F6" i="13"/>
  <c r="G6" i="13" s="1"/>
  <c r="H6" i="13" s="1"/>
  <c r="C6" i="13"/>
  <c r="I5" i="13"/>
  <c r="F5" i="13"/>
  <c r="E5" i="13" s="1"/>
  <c r="C5" i="13"/>
  <c r="I4" i="13"/>
  <c r="F4" i="13"/>
  <c r="E4" i="13" s="1"/>
  <c r="E5" i="11"/>
  <c r="D5" i="11"/>
  <c r="E4" i="11"/>
  <c r="D4" i="11"/>
  <c r="G6" i="11"/>
  <c r="F6" i="11" s="1"/>
  <c r="E6" i="11" s="1"/>
  <c r="D6" i="11" s="1"/>
  <c r="G8" i="11"/>
  <c r="F8" i="11" s="1"/>
  <c r="E8" i="11" s="1"/>
  <c r="D8" i="11" s="1"/>
  <c r="G14" i="11"/>
  <c r="F14" i="11" s="1"/>
  <c r="E14" i="11" s="1"/>
  <c r="D14" i="11" s="1"/>
  <c r="G16" i="11"/>
  <c r="F16" i="11" s="1"/>
  <c r="E16" i="11" s="1"/>
  <c r="D16" i="11" s="1"/>
  <c r="J19" i="11"/>
  <c r="K19" i="11" s="1"/>
  <c r="L19" i="11" s="1"/>
  <c r="I5" i="11"/>
  <c r="J5" i="11" s="1"/>
  <c r="K5" i="11" s="1"/>
  <c r="L5" i="11" s="1"/>
  <c r="I6" i="11"/>
  <c r="J6" i="11" s="1"/>
  <c r="K6" i="11" s="1"/>
  <c r="L6" i="11" s="1"/>
  <c r="I7" i="11"/>
  <c r="J7" i="11" s="1"/>
  <c r="K7" i="11" s="1"/>
  <c r="L7" i="11" s="1"/>
  <c r="I8" i="11"/>
  <c r="J8" i="11" s="1"/>
  <c r="K8" i="11" s="1"/>
  <c r="L8" i="11" s="1"/>
  <c r="I11" i="11"/>
  <c r="J11" i="11" s="1"/>
  <c r="K11" i="11" s="1"/>
  <c r="L11" i="11" s="1"/>
  <c r="I13" i="11"/>
  <c r="J13" i="11" s="1"/>
  <c r="K13" i="11" s="1"/>
  <c r="L13" i="11" s="1"/>
  <c r="I14" i="11"/>
  <c r="J14" i="11" s="1"/>
  <c r="K14" i="11" s="1"/>
  <c r="L14" i="11" s="1"/>
  <c r="I15" i="11"/>
  <c r="J15" i="11" s="1"/>
  <c r="K15" i="11" s="1"/>
  <c r="L15" i="11" s="1"/>
  <c r="I16" i="11"/>
  <c r="J16" i="11" s="1"/>
  <c r="K16" i="11" s="1"/>
  <c r="L16" i="11" s="1"/>
  <c r="I19" i="11"/>
  <c r="M20" i="11"/>
  <c r="H20" i="11"/>
  <c r="G20" i="11" s="1"/>
  <c r="F20" i="11" s="1"/>
  <c r="E20" i="11" s="1"/>
  <c r="D20" i="11" s="1"/>
  <c r="C20" i="11"/>
  <c r="M19" i="11"/>
  <c r="H19" i="11"/>
  <c r="G19" i="11" s="1"/>
  <c r="F19" i="11" s="1"/>
  <c r="E19" i="11" s="1"/>
  <c r="D19" i="11" s="1"/>
  <c r="C19" i="11"/>
  <c r="M18" i="11"/>
  <c r="H18" i="11"/>
  <c r="G18" i="11" s="1"/>
  <c r="F18" i="11" s="1"/>
  <c r="E18" i="11" s="1"/>
  <c r="D18" i="11" s="1"/>
  <c r="C18" i="11"/>
  <c r="M17" i="11"/>
  <c r="H17" i="11"/>
  <c r="I17" i="11" s="1"/>
  <c r="J17" i="11" s="1"/>
  <c r="K17" i="11" s="1"/>
  <c r="L17" i="11" s="1"/>
  <c r="C17" i="11"/>
  <c r="M16" i="11"/>
  <c r="H16" i="11"/>
  <c r="C16" i="11"/>
  <c r="M15" i="11"/>
  <c r="H15" i="11"/>
  <c r="G15" i="11" s="1"/>
  <c r="F15" i="11" s="1"/>
  <c r="E15" i="11" s="1"/>
  <c r="D15" i="11" s="1"/>
  <c r="C15" i="11"/>
  <c r="M14" i="11"/>
  <c r="H14" i="11"/>
  <c r="C14" i="11"/>
  <c r="M13" i="11"/>
  <c r="H13" i="11"/>
  <c r="G13" i="11" s="1"/>
  <c r="F13" i="11" s="1"/>
  <c r="E13" i="11" s="1"/>
  <c r="D13" i="11" s="1"/>
  <c r="C13" i="11"/>
  <c r="M12" i="11"/>
  <c r="H12" i="11"/>
  <c r="G12" i="11" s="1"/>
  <c r="F12" i="11" s="1"/>
  <c r="E12" i="11" s="1"/>
  <c r="D12" i="11" s="1"/>
  <c r="C12" i="11"/>
  <c r="M11" i="11"/>
  <c r="H11" i="11"/>
  <c r="G11" i="11" s="1"/>
  <c r="F11" i="11" s="1"/>
  <c r="E11" i="11" s="1"/>
  <c r="D11" i="11" s="1"/>
  <c r="C11" i="11"/>
  <c r="M10" i="11"/>
  <c r="H10" i="11"/>
  <c r="G10" i="11" s="1"/>
  <c r="F10" i="11" s="1"/>
  <c r="E10" i="11" s="1"/>
  <c r="D10" i="11" s="1"/>
  <c r="C10" i="11"/>
  <c r="M9" i="11"/>
  <c r="H9" i="11"/>
  <c r="I9" i="11" s="1"/>
  <c r="J9" i="11" s="1"/>
  <c r="K9" i="11" s="1"/>
  <c r="L9" i="11" s="1"/>
  <c r="C9" i="11"/>
  <c r="M8" i="11"/>
  <c r="H8" i="11"/>
  <c r="C8" i="11"/>
  <c r="M7" i="11"/>
  <c r="H7" i="11"/>
  <c r="G7" i="11" s="1"/>
  <c r="F7" i="11" s="1"/>
  <c r="E7" i="11" s="1"/>
  <c r="D7" i="11" s="1"/>
  <c r="C7" i="11"/>
  <c r="M6" i="11"/>
  <c r="H6" i="11"/>
  <c r="C6" i="11"/>
  <c r="M5" i="11"/>
  <c r="H5" i="11"/>
  <c r="G5" i="11" s="1"/>
  <c r="F5" i="11" s="1"/>
  <c r="C5" i="11"/>
  <c r="M4" i="11"/>
  <c r="H4" i="11"/>
  <c r="I4" i="11" s="1"/>
  <c r="J4" i="11" s="1"/>
  <c r="K4" i="11" s="1"/>
  <c r="L4" i="11" s="1"/>
  <c r="C4" i="11"/>
  <c r="F10" i="12" l="1"/>
  <c r="E10" i="12" s="1"/>
  <c r="D10" i="12" s="1"/>
  <c r="F18" i="12"/>
  <c r="E18" i="12" s="1"/>
  <c r="D18" i="12" s="1"/>
  <c r="F20" i="12"/>
  <c r="E20" i="12" s="1"/>
  <c r="D20" i="12" s="1"/>
  <c r="F19" i="12"/>
  <c r="E19" i="12" s="1"/>
  <c r="D19" i="12" s="1"/>
  <c r="F5" i="12"/>
  <c r="F13" i="12"/>
  <c r="E13" i="12" s="1"/>
  <c r="D13" i="12" s="1"/>
  <c r="F7" i="12"/>
  <c r="E7" i="12" s="1"/>
  <c r="D7" i="12" s="1"/>
  <c r="F15" i="12"/>
  <c r="E15" i="12" s="1"/>
  <c r="D15" i="12" s="1"/>
  <c r="E8" i="13"/>
  <c r="D8" i="13" s="1"/>
  <c r="G12" i="13"/>
  <c r="H12" i="13" s="1"/>
  <c r="E7" i="13"/>
  <c r="D7" i="13" s="1"/>
  <c r="G4" i="13"/>
  <c r="H4" i="13" s="1"/>
  <c r="G13" i="13"/>
  <c r="H13" i="13" s="1"/>
  <c r="G17" i="13"/>
  <c r="H17" i="13" s="1"/>
  <c r="E16" i="13"/>
  <c r="D16" i="13" s="1"/>
  <c r="E6" i="13"/>
  <c r="D6" i="13" s="1"/>
  <c r="G5" i="13"/>
  <c r="H5" i="13" s="1"/>
  <c r="G9" i="13"/>
  <c r="H9" i="13" s="1"/>
  <c r="G18" i="13"/>
  <c r="H18" i="13" s="1"/>
  <c r="E10" i="13"/>
  <c r="D10" i="13" s="1"/>
  <c r="E20" i="13"/>
  <c r="D20" i="13" s="1"/>
  <c r="E11" i="13"/>
  <c r="D11" i="13" s="1"/>
  <c r="E15" i="13"/>
  <c r="D15" i="13" s="1"/>
  <c r="G19" i="13"/>
  <c r="H19" i="13" s="1"/>
  <c r="G17" i="11"/>
  <c r="F17" i="11" s="1"/>
  <c r="E17" i="11" s="1"/>
  <c r="D17" i="11" s="1"/>
  <c r="G9" i="11"/>
  <c r="F9" i="11" s="1"/>
  <c r="E9" i="11" s="1"/>
  <c r="D9" i="11" s="1"/>
  <c r="I12" i="11"/>
  <c r="J12" i="11" s="1"/>
  <c r="K12" i="11" s="1"/>
  <c r="L12" i="11" s="1"/>
  <c r="G4" i="11"/>
  <c r="F4" i="11" s="1"/>
  <c r="I20" i="11"/>
  <c r="J20" i="11" s="1"/>
  <c r="K20" i="11" s="1"/>
  <c r="L20" i="11" s="1"/>
  <c r="I10" i="11"/>
  <c r="J10" i="11" s="1"/>
  <c r="K10" i="11" s="1"/>
  <c r="L10" i="11" s="1"/>
  <c r="I18" i="11"/>
  <c r="J18" i="11" s="1"/>
  <c r="K18" i="11" s="1"/>
  <c r="L18" i="11" s="1"/>
  <c r="K24" i="9"/>
  <c r="J24" i="9"/>
  <c r="I24" i="9"/>
  <c r="K23" i="9"/>
  <c r="J23" i="9"/>
  <c r="I23" i="9"/>
  <c r="K22" i="9"/>
  <c r="J22" i="9"/>
  <c r="I22" i="9"/>
  <c r="K21" i="9"/>
  <c r="J21" i="9"/>
  <c r="I21" i="9"/>
  <c r="K20" i="9"/>
  <c r="J20" i="9"/>
  <c r="I20" i="9"/>
  <c r="K19" i="9"/>
  <c r="J19" i="9"/>
  <c r="I19" i="9"/>
  <c r="I18" i="9"/>
  <c r="K18" i="9"/>
  <c r="J18" i="9"/>
  <c r="K17" i="9"/>
  <c r="J17" i="9"/>
  <c r="I17" i="9"/>
  <c r="K16" i="9"/>
  <c r="J16" i="9"/>
  <c r="I16" i="9"/>
  <c r="K15" i="9"/>
  <c r="J15" i="9"/>
  <c r="I15" i="9"/>
  <c r="K14" i="9"/>
  <c r="J14" i="9"/>
  <c r="I14" i="9"/>
  <c r="K13" i="9"/>
  <c r="J13" i="9"/>
  <c r="I13" i="9"/>
  <c r="K12" i="9"/>
  <c r="J12" i="9"/>
  <c r="I12" i="9"/>
  <c r="K11" i="9"/>
  <c r="J11" i="9"/>
  <c r="I11" i="9"/>
  <c r="K10" i="9"/>
  <c r="J10" i="9"/>
  <c r="I10" i="9"/>
  <c r="K9" i="9"/>
  <c r="J9" i="9"/>
  <c r="I9" i="9"/>
  <c r="K8" i="9"/>
  <c r="J8" i="9"/>
  <c r="I8" i="9"/>
  <c r="M21" i="8"/>
  <c r="M20" i="8"/>
  <c r="M19" i="8"/>
  <c r="M18" i="8"/>
  <c r="M17" i="8"/>
  <c r="M16" i="8"/>
  <c r="M15" i="8"/>
  <c r="M14" i="8"/>
  <c r="M13" i="8"/>
  <c r="M12" i="8"/>
  <c r="M11" i="8"/>
  <c r="M10" i="8"/>
  <c r="M9" i="8"/>
  <c r="M8" i="8"/>
  <c r="L21" i="8"/>
  <c r="L20" i="8"/>
  <c r="L19" i="8"/>
  <c r="L18" i="8"/>
  <c r="L17" i="8"/>
  <c r="L16" i="8"/>
  <c r="L15" i="8"/>
  <c r="L14" i="8"/>
  <c r="L13" i="8"/>
  <c r="L12" i="8"/>
  <c r="L11" i="8"/>
  <c r="L10" i="8"/>
  <c r="L9" i="8"/>
  <c r="L8" i="8"/>
  <c r="M7" i="8"/>
  <c r="L7" i="8"/>
  <c r="M6" i="8"/>
  <c r="L6" i="8"/>
  <c r="K21" i="8"/>
  <c r="K20" i="8"/>
  <c r="K19" i="8"/>
  <c r="K18" i="8"/>
  <c r="K17" i="8"/>
  <c r="K16" i="8"/>
  <c r="K15" i="8"/>
  <c r="K14" i="8"/>
  <c r="K13" i="8"/>
  <c r="K12" i="8"/>
  <c r="K11" i="8"/>
  <c r="K10" i="8"/>
  <c r="K9" i="8"/>
  <c r="K8" i="8"/>
  <c r="K7" i="8"/>
  <c r="K6" i="8"/>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<sst xmlns="http://schemas.openxmlformats.org/spreadsheetml/2006/main" count="339" uniqueCount="123">
  <si>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</si>
  <si>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</si>
  <si>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</si>
  <si>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</si>
  <si>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</si>
  <si>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</si>
  <si>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</si>
  <si>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</si>
  <si>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</si>
  <si>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</si>
  <si>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</si>
  <si>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</si>
  <si>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</si>
  <si>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</si>
  <si>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</si>
  <si>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</si>
  <si>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</si>
  <si>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</si>
  <si>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</si>
  <si>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</si>
  <si>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</si>
  <si>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</si>
  <si>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</si>
  <si>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</si>
  <si>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</si>
  <si>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</si>
  <si>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</si>
  <si>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</si>
  <si>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</si>
  <si>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</si>
  <si>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</si>
  <si>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</si>
  <si>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</si>
  <si>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</si>
  <si>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</si>
  <si>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</si>
  <si>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</si>
  <si>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</si>
  <si>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</si>
  <si>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</si>
  <si>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</si>
  <si>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</si>
  <si>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</si>
  <si>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</si>
  <si>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</si>
  <si>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</si>
  <si>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</si>
  <si>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</si>
  <si>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</si>
  <si>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</si>
  <si>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</si>
  <si>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</si>
  <si>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</si>
  <si>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</si>
  <si>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</si>
  <si>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</si>
  <si>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</si>
  <si>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</si>
  <si>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</si>
  <si>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</si>
  <si>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</si>
  <si>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</si>
  <si>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</si>
  <si>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</si>
  <si>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</si>
  <si>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</si>
  <si>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</si>
  <si>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</si>
  <si>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</si>
  <si>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</si>
  <si>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</si>
  <si>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</si>
  <si>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</si>
  <si>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</si>
  <si>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</si>
  <si>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</si>
  <si>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</si>
  <si>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</si>
  <si>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</si>
  <si>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</si>
  <si>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</si>
  <si>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</si>
  <si>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</si>
  <si>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</si>
  <si>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</si>
  <si>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</si>
  <si>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</si>
  <si>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</si>
  <si>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</si>
  <si>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</si>
  <si>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</si>
  <si>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</si>
  <si>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</si>
  <si>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</si>
  <si>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</si>
  <si>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</si>
  <si>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</si>
  <si>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</si>
  <si>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</si>
  <si>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</si>
  <si>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</si>
  <si>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Mēnešalgu intervāli</t>
  </si>
  <si>
    <t>(koeficienti pret bāzes mēnešalgu)</t>
  </si>
  <si>
    <t>minimums*</t>
  </si>
  <si>
    <t>17.</t>
  </si>
  <si>
    <t>minimums**</t>
  </si>
  <si>
    <t>**3. pielikumā noteiktais minimums valsts un pašvaldības institūcijai jāsasniedz līdz 2027. gada 1. janvārim.</t>
  </si>
  <si>
    <t>spēkā no 01.07.2022.</t>
  </si>
  <si>
    <t>Likuma 3. pielikums</t>
  </si>
  <si>
    <t>Mēneš-algu grupa Likum-projektā</t>
  </si>
  <si>
    <r>
      <t xml:space="preserve">Minimums </t>
    </r>
    <r>
      <rPr>
        <b/>
        <i/>
        <sz val="11"/>
        <color theme="1"/>
        <rFont val="Times New Roman"/>
        <family val="1"/>
        <charset val="186"/>
      </rPr>
      <t>euro</t>
    </r>
  </si>
  <si>
    <r>
      <t xml:space="preserve">Viduspunkts, </t>
    </r>
    <r>
      <rPr>
        <b/>
        <i/>
        <sz val="11"/>
        <color theme="1"/>
        <rFont val="Times New Roman"/>
        <family val="1"/>
        <charset val="186"/>
      </rPr>
      <t>euro</t>
    </r>
  </si>
  <si>
    <r>
      <t xml:space="preserve">Maksimums </t>
    </r>
    <r>
      <rPr>
        <b/>
        <i/>
        <sz val="11"/>
        <color theme="1"/>
        <rFont val="Times New Roman"/>
        <family val="1"/>
        <charset val="186"/>
      </rPr>
      <t>euro</t>
    </r>
  </si>
  <si>
    <t> -</t>
  </si>
  <si>
    <t>- </t>
  </si>
  <si>
    <t>(euro)</t>
  </si>
  <si>
    <r>
      <t xml:space="preserve">Mēnešalgu skala ar intervāliem valsts un pašvaldību institūcijās nodarbinātajiem ierēdņiem un darbiniekiem (t.sk. arī KNAB un VID) - izteikta </t>
    </r>
    <r>
      <rPr>
        <i/>
        <sz val="11"/>
        <color theme="1"/>
        <rFont val="Calibri"/>
        <family val="2"/>
        <charset val="186"/>
        <scheme val="minor"/>
      </rPr>
      <t>euro (</t>
    </r>
    <r>
      <rPr>
        <sz val="11"/>
        <color theme="1"/>
        <rFont val="Calibri"/>
        <family val="2"/>
        <charset val="186"/>
        <scheme val="minor"/>
      </rPr>
      <t>likuma 3.pielikums)</t>
    </r>
  </si>
  <si>
    <t>Viduspunkts</t>
  </si>
  <si>
    <t>Minimums</t>
  </si>
  <si>
    <t>Maksimums</t>
  </si>
  <si>
    <t>Pakāpes</t>
  </si>
  <si>
    <t>Šīm pakāpēm ir mainīta aprēķinu formula, lai nepārsniegtu minimumu vai maksimumu.</t>
  </si>
  <si>
    <t>Šīm pakāpēm ir mainīta aprēķinu formula, lai tās nepārsniegtu minimumu vai maksimumu.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</si>
</sst>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b/>
      <sz val="11"/>
      <color rgb="FFFF0000"/>
      <name val="Calibri"/>
      <family val="2"/>
      <charset val="186"/>
      <scheme val="minor"/>
    </font>
    <font>
      <sz val="8"/>
      <color rgb="FF333333"/>
      <name val="PT Serif"/>
      <family val="1"/>
      <charset val="186"/>
    </font>
    <font>
      <sz val="12"/>
      <color theme="1"/>
      <name val="Times New Roman"/>
      <family val="1"/>
      <charset val="186"/>
    </font>
    <font>
      <sz val="13"/>
      <color rgb="FF333333"/>
      <name val="Times New Roman"/>
      <family val="1"/>
      <charset val="186"/>
    </font>
    <font>
      <sz val="11"/>
      <color theme="1"/>
      <name val="Times New Roman"/>
      <family val="1"/>
      <charset val="186"/>
    </font>
    <font>
      <sz val="12"/>
      <color rgb="FF000000"/>
      <name val="Times New Roman"/>
      <family val="1"/>
      <charset val="186"/>
    </font>
    <font>
      <b/>
      <i/>
      <sz val="11"/>
      <color theme="1"/>
      <name val="Times New Roman"/>
      <family val="1"/>
      <charset val="186"/>
    </font>
    <font>
      <sz val="11"/>
      <color rgb="FF000000"/>
      <name val="Times New Roman"/>
      <family val="1"/>
      <charset val="186"/>
    </font>
    <font>
      <sz val="11"/>
      <color rgb="FF000000"/>
      <name val="Calibri"/>
      <family val="2"/>
      <charset val="186"/>
      <scheme val="minor"/>
    </font>
    <font>
      <sz val="11"/>
      <color rgb="FF333333"/>
      <name val="Calibri"/>
      <family val="2"/>
      <charset val="186"/>
      <scheme val="minor"/>
    </font>
    <font>
      <b/>
      <sz val="11"/>
      <color theme="1"/>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11">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Font="1" applyBorder="1" applyAlignment="1">
      <alignment horizontal="right"/>
    </xf>
    <xf numFmtId="0" fontId="2"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Font="1" applyBorder="1" applyAlignment="1">
      <alignment horizontal="right"/>
    </xf>
    <xf numFmtId="0" fontId="0" fillId="0" borderId="0" xfId="0" applyFill="1" applyBorder="1" applyAlignment="1">
      <alignment wrapText="1"/>
    </xf>
    <xf numFmtId="0" fontId="1" fillId="0" borderId="1" xfId="0" applyFont="1" applyFill="1" applyBorder="1" applyAlignment="1">
      <alignment horizontal="center" vertical="center"/>
    </xf>
    <xf numFmtId="0" fontId="0" fillId="0" borderId="1" xfId="0"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1" fontId="7" fillId="0" borderId="1" xfId="0" applyNumberFormat="1" applyFont="1" applyBorder="1"/>
    <xf numFmtId="1" fontId="0" fillId="0" borderId="1" xfId="0" applyNumberFormat="1" applyBorder="1" applyAlignment="1">
      <alignment horizontal="center"/>
    </xf>
    <xf numFmtId="0" fontId="8" fillId="0" borderId="0" xfId="0" applyFont="1"/>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0" fontId="10" fillId="0" borderId="0" xfId="0" applyFont="1" applyAlignment="1">
      <alignment vertical="center" wrapText="1"/>
    </xf>
    <xf numFmtId="0" fontId="11" fillId="2" borderId="15" xfId="0" applyFont="1" applyFill="1" applyBorder="1" applyAlignment="1">
      <alignment horizontal="center" vertical="center"/>
    </xf>
    <xf numFmtId="0" fontId="11" fillId="2" borderId="11" xfId="0" applyFont="1" applyFill="1" applyBorder="1" applyAlignment="1">
      <alignment horizontal="center" vertical="center"/>
    </xf>
    <xf numFmtId="0" fontId="12"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center" vertical="center"/>
    </xf>
    <xf numFmtId="0" fontId="13" fillId="0" borderId="11" xfId="0" applyFont="1" applyBorder="1" applyAlignment="1">
      <alignment horizontal="center" vertical="center"/>
    </xf>
    <xf numFmtId="0" fontId="13" fillId="2" borderId="15" xfId="0" applyFont="1" applyFill="1" applyBorder="1" applyAlignment="1">
      <alignment horizontal="center" vertical="center" wrapText="1"/>
    </xf>
    <xf numFmtId="0" fontId="15" fillId="0" borderId="15" xfId="0" applyFont="1" applyBorder="1" applyAlignment="1">
      <alignment horizontal="center" vertical="center"/>
    </xf>
    <xf numFmtId="0" fontId="13" fillId="2" borderId="11" xfId="0" applyFont="1" applyFill="1" applyBorder="1" applyAlignment="1">
      <alignment horizontal="center" vertical="center" wrapText="1"/>
    </xf>
    <xf numFmtId="0" fontId="16" fillId="0" borderId="0" xfId="0" applyFont="1"/>
    <xf numFmtId="0" fontId="0" fillId="0" borderId="0" xfId="0" applyFont="1"/>
    <xf numFmtId="0" fontId="17" fillId="2" borderId="15" xfId="0" applyFont="1" applyFill="1" applyBorder="1" applyAlignment="1">
      <alignment horizontal="center" vertical="center"/>
    </xf>
    <xf numFmtId="0" fontId="17" fillId="2" borderId="11" xfId="0" applyFont="1" applyFill="1" applyBorder="1" applyAlignment="1">
      <alignment horizontal="center" vertical="center"/>
    </xf>
    <xf numFmtId="1" fontId="17" fillId="2" borderId="15" xfId="0" applyNumberFormat="1" applyFont="1" applyFill="1" applyBorder="1" applyAlignment="1">
      <alignment horizontal="center" vertical="center"/>
    </xf>
    <xf numFmtId="0" fontId="0" fillId="0" borderId="1" xfId="0" applyBorder="1" applyAlignment="1">
      <alignment horizontal="center"/>
    </xf>
    <xf numFmtId="0" fontId="17" fillId="2" borderId="1" xfId="0" applyFont="1" applyFill="1" applyBorder="1" applyAlignment="1">
      <alignment horizontal="center" vertical="center"/>
    </xf>
    <xf numFmtId="1" fontId="17" fillId="2" borderId="1" xfId="0" applyNumberFormat="1" applyFont="1" applyFill="1" applyBorder="1" applyAlignment="1">
      <alignment horizontal="center" vertical="center"/>
    </xf>
    <xf numFmtId="0" fontId="18" fillId="0" borderId="1" xfId="0" applyFont="1" applyBorder="1" applyAlignment="1">
      <alignment horizontal="center"/>
    </xf>
    <xf numFmtId="1" fontId="17" fillId="3" borderId="1" xfId="0" applyNumberFormat="1" applyFont="1" applyFill="1" applyBorder="1" applyAlignment="1">
      <alignment horizontal="center" vertical="center"/>
    </xf>
    <xf numFmtId="0" fontId="0" fillId="3" borderId="0" xfId="0" applyFill="1"/>
    <xf numFmtId="1" fontId="17" fillId="4" borderId="1" xfId="0" applyNumberFormat="1" applyFont="1" applyFill="1" applyBorder="1" applyAlignment="1">
      <alignment horizontal="center" vertical="center"/>
    </xf>
    <xf numFmtId="1" fontId="17" fillId="5" borderId="1" xfId="0" applyNumberFormat="1" applyFont="1" applyFill="1" applyBorder="1" applyAlignment="1">
      <alignment horizontal="center" vertical="center"/>
    </xf>
    <xf numFmtId="1" fontId="17" fillId="6" borderId="1" xfId="0" applyNumberFormat="1" applyFont="1" applyFill="1" applyBorder="1" applyAlignment="1">
      <alignment horizontal="center" vertical="center"/>
    </xf>
    <xf numFmtId="0" fontId="18" fillId="0" borderId="1" xfId="0" applyFont="1" applyBorder="1"/>
    <xf numFmtId="0" fontId="18" fillId="6" borderId="1" xfId="0" applyFont="1" applyFill="1" applyBorder="1" applyAlignment="1">
      <alignment horizontal="center"/>
    </xf>
    <xf numFmtId="0" fontId="18" fillId="4" borderId="1" xfId="0" applyFont="1" applyFill="1" applyBorder="1" applyAlignment="1">
      <alignment horizontal="center"/>
    </xf>
    <xf numFmtId="0" fontId="18" fillId="5" borderId="1" xfId="0" applyFont="1" applyFill="1" applyBorder="1" applyAlignment="1">
      <alignment horizontal="center"/>
    </xf>
    <xf numFmtId="0" fontId="0" fillId="0" borderId="0" xfId="0" applyBorder="1"/>
    <xf numFmtId="1" fontId="17" fillId="0" borderId="1"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0" fillId="0" borderId="1" xfId="0" applyBorder="1" applyAlignment="1">
      <alignment horizontal="center"/>
    </xf>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2" fillId="0" borderId="1" xfId="0" applyFont="1" applyBorder="1" applyAlignment="1">
      <alignment horizontal="center"/>
    </xf>
    <xf numFmtId="0" fontId="1" fillId="0" borderId="0" xfId="0" applyFont="1" applyAlignment="1">
      <alignment horizontal="center" wrapText="1"/>
    </xf>
    <xf numFmtId="0" fontId="1" fillId="0" borderId="1" xfId="0" applyFont="1" applyBorder="1" applyAlignment="1">
      <alignment horizont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0" xfId="0" applyAlignment="1">
      <alignment horizont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0" xfId="0" applyFont="1" applyFill="1" applyAlignment="1">
      <alignment horizontal="center" vertical="center"/>
    </xf>
    <xf numFmtId="0" fontId="11" fillId="2" borderId="14" xfId="0" applyFont="1" applyFill="1" applyBorder="1" applyAlignment="1">
      <alignment horizontal="center" vertical="center"/>
    </xf>
    <xf numFmtId="0" fontId="10" fillId="0" borderId="17" xfId="0" applyFont="1" applyBorder="1" applyAlignment="1">
      <alignment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6"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baseColWidth="10" defaultColWidth="8.83203125" defaultRowHeight="15" x14ac:dyDescent="0.2"/>
  <cols>
    <col min="1" max="1" width="4.5" customWidth="1"/>
    <col min="2" max="2" width="48.5" customWidth="1"/>
    <col min="3" max="3" width="34.83203125" customWidth="1"/>
    <col min="4" max="4" width="18" customWidth="1"/>
    <col min="5" max="5" width="30.83203125" customWidth="1"/>
    <col min="6" max="6" width="24.5" customWidth="1"/>
    <col min="7" max="7" width="18.33203125" customWidth="1"/>
    <col min="8" max="8" width="9.1640625" hidden="1" customWidth="1"/>
  </cols>
  <sheetData>
    <row r="1" spans="2:8" x14ac:dyDescent="0.2">
      <c r="G1" s="13" t="s">
        <v>62</v>
      </c>
    </row>
    <row r="2" spans="2:8" ht="29.25" customHeight="1" x14ac:dyDescent="0.2">
      <c r="E2" s="68" t="s">
        <v>63</v>
      </c>
      <c r="F2" s="68"/>
      <c r="G2" s="68"/>
    </row>
    <row r="4" spans="2:8" x14ac:dyDescent="0.2">
      <c r="B4" s="69" t="s">
        <v>13</v>
      </c>
      <c r="C4" s="69"/>
      <c r="D4" s="69"/>
      <c r="E4" s="69"/>
      <c r="F4" s="69"/>
      <c r="G4" s="69"/>
    </row>
    <row r="7" spans="2:8" x14ac:dyDescent="0.2">
      <c r="B7" s="72" t="s">
        <v>6</v>
      </c>
      <c r="C7" s="70" t="s">
        <v>1</v>
      </c>
      <c r="D7" s="70"/>
      <c r="E7" s="71" t="s">
        <v>2</v>
      </c>
      <c r="F7" s="71" t="s">
        <v>11</v>
      </c>
      <c r="G7" s="71" t="s">
        <v>65</v>
      </c>
    </row>
    <row r="8" spans="2:8" s="1" customFormat="1" ht="32.25" customHeight="1" x14ac:dyDescent="0.2">
      <c r="B8" s="72"/>
      <c r="C8" s="7" t="s">
        <v>0</v>
      </c>
      <c r="D8" s="7" t="s">
        <v>64</v>
      </c>
      <c r="E8" s="71"/>
      <c r="F8" s="71"/>
      <c r="G8" s="71"/>
    </row>
    <row r="9" spans="2:8" ht="208" x14ac:dyDescent="0.2">
      <c r="B9" s="4" t="s">
        <v>12</v>
      </c>
      <c r="C9" s="7" t="s">
        <v>8</v>
      </c>
      <c r="D9" s="5">
        <v>926</v>
      </c>
      <c r="E9" s="7" t="s">
        <v>7</v>
      </c>
      <c r="F9" s="7" t="s">
        <v>60</v>
      </c>
      <c r="G9" s="3">
        <v>976.47</v>
      </c>
      <c r="H9">
        <f>926*1.0545</f>
        <v>976.46699999999998</v>
      </c>
    </row>
    <row r="10" spans="2:8" ht="144" x14ac:dyDescent="0.2">
      <c r="B10" s="7" t="s">
        <v>61</v>
      </c>
      <c r="C10" s="7" t="s">
        <v>9</v>
      </c>
      <c r="D10" s="5">
        <v>1921</v>
      </c>
      <c r="E10" s="6" t="s">
        <v>4</v>
      </c>
      <c r="F10" s="5" t="s">
        <v>59</v>
      </c>
      <c r="G10" s="3">
        <v>1979.59</v>
      </c>
      <c r="H10">
        <f>1921*1.0305</f>
        <v>1979.5905</v>
      </c>
    </row>
    <row r="11" spans="2:8" ht="160" x14ac:dyDescent="0.2">
      <c r="B11" s="7" t="s">
        <v>3</v>
      </c>
      <c r="C11" s="7" t="s">
        <v>10</v>
      </c>
      <c r="D11" s="5">
        <v>1355</v>
      </c>
      <c r="E11" s="4" t="s">
        <v>5</v>
      </c>
      <c r="F11" s="12" t="s">
        <v>58</v>
      </c>
      <c r="G11" s="3">
        <v>1416.99</v>
      </c>
      <c r="H11">
        <f>1355*1.04575</f>
        <v>1416.99125</v>
      </c>
    </row>
    <row r="12" spans="2:8" ht="128" x14ac:dyDescent="0.2">
      <c r="B12" s="19" t="s">
        <v>68</v>
      </c>
      <c r="C12" s="20" t="s">
        <v>69</v>
      </c>
      <c r="D12" s="21">
        <v>918</v>
      </c>
      <c r="E12" s="7" t="s">
        <v>7</v>
      </c>
      <c r="F12" s="7" t="s">
        <v>60</v>
      </c>
      <c r="G12" s="18">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baseColWidth="10" defaultColWidth="8.83203125" defaultRowHeight="15" x14ac:dyDescent="0.2"/>
  <cols>
    <col min="2" max="2" width="54.5" customWidth="1"/>
    <col min="3" max="4" width="15.5" customWidth="1"/>
    <col min="5" max="5" width="18.1640625" customWidth="1"/>
    <col min="7" max="7" width="39.6640625" customWidth="1"/>
  </cols>
  <sheetData>
    <row r="1" spans="2:7" x14ac:dyDescent="0.2">
      <c r="B1" s="69" t="s">
        <v>42</v>
      </c>
      <c r="C1" s="69"/>
      <c r="D1" s="69"/>
      <c r="E1" s="69"/>
    </row>
    <row r="3" spans="2:7" ht="80" x14ac:dyDescent="0.2">
      <c r="B3" s="8"/>
      <c r="C3" s="4" t="s">
        <v>15</v>
      </c>
      <c r="D3" s="4" t="s">
        <v>65</v>
      </c>
      <c r="E3" s="4" t="s">
        <v>67</v>
      </c>
      <c r="G3" s="17"/>
    </row>
    <row r="4" spans="2:7" x14ac:dyDescent="0.2">
      <c r="B4" s="73" t="s">
        <v>17</v>
      </c>
      <c r="C4" s="73"/>
      <c r="D4" s="73"/>
      <c r="E4" s="73"/>
      <c r="F4" s="2"/>
    </row>
    <row r="5" spans="2:7" x14ac:dyDescent="0.2">
      <c r="B5" s="8" t="s">
        <v>14</v>
      </c>
      <c r="C5" s="8">
        <v>1.2</v>
      </c>
      <c r="D5" s="8">
        <v>976.47</v>
      </c>
      <c r="E5" s="15">
        <f>976.47*1.2</f>
        <v>1171.7639999999999</v>
      </c>
    </row>
    <row r="6" spans="2:7" x14ac:dyDescent="0.2">
      <c r="B6" s="8" t="s">
        <v>56</v>
      </c>
      <c r="C6" s="8">
        <v>3.64</v>
      </c>
      <c r="D6" s="8">
        <v>976.47</v>
      </c>
      <c r="E6" s="15">
        <f>976.47*3.64</f>
        <v>3554.3508000000002</v>
      </c>
    </row>
    <row r="7" spans="2:7" x14ac:dyDescent="0.2">
      <c r="B7" s="8" t="s">
        <v>16</v>
      </c>
      <c r="C7" s="8">
        <v>3.2</v>
      </c>
      <c r="D7" s="8">
        <v>976.47</v>
      </c>
      <c r="E7" s="15">
        <f>976.47*3.2</f>
        <v>3124.7040000000002</v>
      </c>
    </row>
    <row r="8" spans="2:7" x14ac:dyDescent="0.2">
      <c r="B8" s="8" t="s">
        <v>18</v>
      </c>
      <c r="C8" s="8">
        <v>2.5499999999999998</v>
      </c>
      <c r="D8" s="8">
        <v>976.47</v>
      </c>
      <c r="E8" s="15">
        <f>976.47*2.55</f>
        <v>2489.9984999999997</v>
      </c>
    </row>
    <row r="9" spans="2:7" x14ac:dyDescent="0.2">
      <c r="B9" s="8" t="s">
        <v>19</v>
      </c>
      <c r="C9" s="8">
        <v>1.9</v>
      </c>
      <c r="D9" s="8">
        <v>976.47</v>
      </c>
      <c r="E9" s="15">
        <f>976.47*1.9</f>
        <v>1855.2929999999999</v>
      </c>
    </row>
    <row r="10" spans="2:7" ht="4.5" customHeight="1" x14ac:dyDescent="0.2">
      <c r="B10" s="8"/>
      <c r="C10" s="8"/>
      <c r="D10" s="8"/>
      <c r="E10" s="8"/>
    </row>
    <row r="11" spans="2:7" ht="18" customHeight="1" x14ac:dyDescent="0.2">
      <c r="B11" s="73" t="s">
        <v>27</v>
      </c>
      <c r="C11" s="73"/>
      <c r="D11" s="73"/>
      <c r="E11" s="73"/>
    </row>
    <row r="12" spans="2:7" ht="20.25" customHeight="1" x14ac:dyDescent="0.2">
      <c r="B12" s="8" t="s">
        <v>28</v>
      </c>
      <c r="C12" s="8">
        <v>2.33</v>
      </c>
      <c r="D12" s="8">
        <v>976.47</v>
      </c>
      <c r="E12" s="15">
        <f>976.47*2.33</f>
        <v>2275.1750999999999</v>
      </c>
    </row>
    <row r="13" spans="2:7" ht="18.75" customHeight="1" x14ac:dyDescent="0.2">
      <c r="B13" s="8" t="s">
        <v>29</v>
      </c>
      <c r="C13" s="8">
        <v>0.22</v>
      </c>
      <c r="D13" s="8">
        <v>976.47</v>
      </c>
      <c r="E13" s="15">
        <f>976.47*0.22</f>
        <v>214.82340000000002</v>
      </c>
    </row>
    <row r="14" spans="2:7" ht="6.75" customHeight="1" x14ac:dyDescent="0.2">
      <c r="B14" s="8"/>
      <c r="C14" s="8"/>
      <c r="D14" s="8"/>
      <c r="E14" s="8"/>
    </row>
    <row r="15" spans="2:7" x14ac:dyDescent="0.2">
      <c r="B15" s="73" t="s">
        <v>20</v>
      </c>
      <c r="C15" s="73"/>
      <c r="D15" s="73"/>
      <c r="E15" s="73"/>
    </row>
    <row r="16" spans="2:7" x14ac:dyDescent="0.2">
      <c r="B16" s="8" t="s">
        <v>21</v>
      </c>
      <c r="C16" s="8">
        <v>3.32</v>
      </c>
      <c r="D16" s="8">
        <v>976.47</v>
      </c>
      <c r="E16" s="15">
        <f>976.47*3.32</f>
        <v>3241.8804</v>
      </c>
    </row>
    <row r="17" spans="2:5" x14ac:dyDescent="0.2">
      <c r="B17" s="8" t="s">
        <v>22</v>
      </c>
      <c r="C17" s="8">
        <v>2.82</v>
      </c>
      <c r="D17" s="8">
        <v>976.47</v>
      </c>
      <c r="E17" s="15">
        <f>976.47*2.82</f>
        <v>2753.6453999999999</v>
      </c>
    </row>
    <row r="18" spans="2:5" x14ac:dyDescent="0.2">
      <c r="B18" s="8" t="s">
        <v>23</v>
      </c>
      <c r="C18" s="8">
        <v>2.82</v>
      </c>
      <c r="D18" s="8">
        <v>976.47</v>
      </c>
      <c r="E18" s="15">
        <f>976.47*2.82</f>
        <v>2753.6453999999999</v>
      </c>
    </row>
    <row r="19" spans="2:5" x14ac:dyDescent="0.2">
      <c r="B19" s="8" t="s">
        <v>24</v>
      </c>
      <c r="C19" s="8">
        <v>2.12</v>
      </c>
      <c r="D19" s="8">
        <v>976.47</v>
      </c>
      <c r="E19" s="15">
        <f>976.47*2.12</f>
        <v>2070.1164000000003</v>
      </c>
    </row>
    <row r="20" spans="2:5" ht="5.25" customHeight="1" x14ac:dyDescent="0.2">
      <c r="B20" s="8"/>
      <c r="C20" s="8"/>
      <c r="D20" s="8"/>
      <c r="E20" s="8"/>
    </row>
    <row r="21" spans="2:5" x14ac:dyDescent="0.2">
      <c r="B21" s="73" t="s">
        <v>25</v>
      </c>
      <c r="C21" s="75"/>
      <c r="D21" s="75"/>
      <c r="E21" s="75"/>
    </row>
    <row r="22" spans="2:5" x14ac:dyDescent="0.2">
      <c r="B22" s="8" t="s">
        <v>26</v>
      </c>
      <c r="C22" s="8">
        <v>0.8</v>
      </c>
      <c r="D22" s="8">
        <v>976.47</v>
      </c>
      <c r="E22" s="15">
        <f>976.47*0.08</f>
        <v>78.11760000000001</v>
      </c>
    </row>
    <row r="23" spans="2:5" ht="5.25" customHeight="1" x14ac:dyDescent="0.2">
      <c r="B23" s="8"/>
      <c r="C23" s="8"/>
      <c r="D23" s="8"/>
      <c r="E23" s="8"/>
    </row>
    <row r="24" spans="2:5" x14ac:dyDescent="0.2">
      <c r="B24" s="73" t="s">
        <v>30</v>
      </c>
      <c r="C24" s="73"/>
      <c r="D24" s="73"/>
      <c r="E24" s="73"/>
    </row>
    <row r="25" spans="2:5" ht="32" x14ac:dyDescent="0.2">
      <c r="B25" s="4" t="s">
        <v>31</v>
      </c>
      <c r="C25" s="8">
        <v>4.05</v>
      </c>
      <c r="D25" s="8">
        <v>976.47</v>
      </c>
      <c r="E25" s="15">
        <f>976.47*4.05</f>
        <v>3954.7035000000001</v>
      </c>
    </row>
    <row r="26" spans="2:5" ht="3.75" customHeight="1" x14ac:dyDescent="0.2">
      <c r="B26" s="8"/>
      <c r="C26" s="8"/>
      <c r="D26" s="8"/>
      <c r="E26" s="8"/>
    </row>
    <row r="27" spans="2:5" x14ac:dyDescent="0.2">
      <c r="B27" s="73" t="s">
        <v>32</v>
      </c>
      <c r="C27" s="73"/>
      <c r="D27" s="73"/>
      <c r="E27" s="73"/>
    </row>
    <row r="28" spans="2:5" ht="32" x14ac:dyDescent="0.2">
      <c r="B28" s="4" t="s">
        <v>33</v>
      </c>
      <c r="C28" s="8">
        <v>4.05</v>
      </c>
      <c r="D28" s="8">
        <v>976.47</v>
      </c>
      <c r="E28" s="15">
        <f>976.47*4.05</f>
        <v>3954.7035000000001</v>
      </c>
    </row>
    <row r="29" spans="2:5" ht="4.5" customHeight="1" x14ac:dyDescent="0.2">
      <c r="B29" s="8"/>
      <c r="C29" s="8"/>
      <c r="D29" s="8"/>
      <c r="E29" s="8"/>
    </row>
    <row r="30" spans="2:5" x14ac:dyDescent="0.2">
      <c r="B30" s="73" t="s">
        <v>34</v>
      </c>
      <c r="C30" s="73"/>
      <c r="D30" s="73"/>
      <c r="E30" s="73"/>
    </row>
    <row r="31" spans="2:5" x14ac:dyDescent="0.2">
      <c r="B31" s="8" t="s">
        <v>35</v>
      </c>
      <c r="C31" s="8">
        <v>2.78</v>
      </c>
      <c r="D31" s="8">
        <v>976.47</v>
      </c>
      <c r="E31" s="15">
        <f>976.47*2.78</f>
        <v>2714.5866000000001</v>
      </c>
    </row>
    <row r="32" spans="2:5" x14ac:dyDescent="0.2">
      <c r="B32" s="8" t="s">
        <v>36</v>
      </c>
      <c r="C32" s="8">
        <v>2.64</v>
      </c>
      <c r="D32" s="8">
        <v>976.47</v>
      </c>
      <c r="E32" s="15">
        <f>976.47*2.64</f>
        <v>2577.8808000000004</v>
      </c>
    </row>
    <row r="33" spans="2:5" x14ac:dyDescent="0.2">
      <c r="B33" s="8" t="s">
        <v>37</v>
      </c>
      <c r="C33" s="8">
        <v>2.31</v>
      </c>
      <c r="D33" s="8">
        <v>976.47</v>
      </c>
      <c r="E33" s="15">
        <f>976.47*2.31</f>
        <v>2255.6457</v>
      </c>
    </row>
    <row r="34" spans="2:5" ht="4.5" customHeight="1" x14ac:dyDescent="0.2">
      <c r="B34" s="8"/>
      <c r="C34" s="8"/>
      <c r="D34" s="8"/>
      <c r="E34" s="8"/>
    </row>
    <row r="35" spans="2:5" x14ac:dyDescent="0.2">
      <c r="B35" s="73" t="s">
        <v>38</v>
      </c>
      <c r="C35" s="73"/>
      <c r="D35" s="73"/>
      <c r="E35" s="73"/>
    </row>
    <row r="36" spans="2:5" x14ac:dyDescent="0.2">
      <c r="B36" s="8" t="s">
        <v>38</v>
      </c>
      <c r="C36" s="8">
        <v>4.05</v>
      </c>
      <c r="D36" s="8">
        <v>976.47</v>
      </c>
      <c r="E36" s="15">
        <f>976.47*4.05</f>
        <v>3954.7035000000001</v>
      </c>
    </row>
    <row r="37" spans="2:5" ht="4.5" customHeight="1" x14ac:dyDescent="0.2">
      <c r="B37" s="8"/>
      <c r="C37" s="8"/>
      <c r="D37" s="8"/>
      <c r="E37" s="8"/>
    </row>
    <row r="38" spans="2:5" x14ac:dyDescent="0.2">
      <c r="B38" s="73" t="s">
        <v>3</v>
      </c>
      <c r="C38" s="73"/>
      <c r="D38" s="73"/>
      <c r="E38" s="73"/>
    </row>
    <row r="39" spans="2:5" ht="37.5" customHeight="1" x14ac:dyDescent="0.2">
      <c r="B39" s="4" t="s">
        <v>43</v>
      </c>
      <c r="C39" s="10">
        <v>4.05</v>
      </c>
      <c r="D39" s="10">
        <v>1416.99</v>
      </c>
      <c r="E39" s="16">
        <f>1416.99*4.05</f>
        <v>5738.8094999999994</v>
      </c>
    </row>
    <row r="40" spans="2:5" ht="6.75" customHeight="1" x14ac:dyDescent="0.2">
      <c r="B40" s="9"/>
      <c r="C40" s="9"/>
      <c r="D40" s="11"/>
      <c r="E40" s="9"/>
    </row>
    <row r="41" spans="2:5" x14ac:dyDescent="0.2">
      <c r="B41" s="73" t="s">
        <v>39</v>
      </c>
      <c r="C41" s="73"/>
      <c r="D41" s="73"/>
      <c r="E41" s="73"/>
    </row>
    <row r="42" spans="2:5" x14ac:dyDescent="0.2">
      <c r="B42" s="8" t="s">
        <v>40</v>
      </c>
      <c r="C42" s="8">
        <v>4.05</v>
      </c>
      <c r="D42" s="8">
        <v>976.47</v>
      </c>
      <c r="E42" s="15">
        <f>976.47*4.05</f>
        <v>3954.7035000000001</v>
      </c>
    </row>
    <row r="43" spans="2:5" x14ac:dyDescent="0.2">
      <c r="B43" s="8" t="s">
        <v>41</v>
      </c>
      <c r="C43" s="8">
        <v>3.32</v>
      </c>
      <c r="D43" s="8">
        <v>976.47</v>
      </c>
      <c r="E43" s="15">
        <f>976.47*3.32</f>
        <v>3241.8804</v>
      </c>
    </row>
    <row r="44" spans="2:5" ht="4.5" customHeight="1" x14ac:dyDescent="0.2">
      <c r="B44" s="8"/>
      <c r="C44" s="8"/>
      <c r="D44" s="8"/>
      <c r="E44" s="8"/>
    </row>
    <row r="45" spans="2:5" x14ac:dyDescent="0.2">
      <c r="B45" s="73" t="s">
        <v>44</v>
      </c>
      <c r="C45" s="73"/>
      <c r="D45" s="73"/>
      <c r="E45" s="73"/>
    </row>
    <row r="46" spans="2:5" ht="16" x14ac:dyDescent="0.2">
      <c r="B46" s="4" t="s">
        <v>46</v>
      </c>
      <c r="C46" s="8">
        <v>4.95</v>
      </c>
      <c r="D46" s="8">
        <v>1979.59</v>
      </c>
      <c r="E46" s="15">
        <f>1979.59*4.95</f>
        <v>9798.9704999999994</v>
      </c>
    </row>
    <row r="47" spans="2:5" ht="4.5" customHeight="1" x14ac:dyDescent="0.2">
      <c r="B47" s="8"/>
      <c r="C47" s="8"/>
      <c r="D47" s="8"/>
      <c r="E47" s="8"/>
    </row>
    <row r="48" spans="2:5" x14ac:dyDescent="0.2">
      <c r="B48" s="73" t="s">
        <v>57</v>
      </c>
      <c r="C48" s="73"/>
      <c r="D48" s="73"/>
      <c r="E48" s="73"/>
    </row>
    <row r="49" spans="2:6" ht="32" x14ac:dyDescent="0.2">
      <c r="B49" s="4" t="s">
        <v>45</v>
      </c>
      <c r="C49" s="8">
        <v>4.05</v>
      </c>
      <c r="D49" s="8">
        <v>1979.59</v>
      </c>
      <c r="E49" s="15">
        <f>1979.59*4.05</f>
        <v>8017.3394999999991</v>
      </c>
    </row>
    <row r="51" spans="2:6" x14ac:dyDescent="0.2">
      <c r="B51" s="69" t="s">
        <v>49</v>
      </c>
      <c r="C51" s="69"/>
      <c r="D51" s="69"/>
      <c r="E51" s="69"/>
    </row>
    <row r="53" spans="2:6" ht="64" x14ac:dyDescent="0.2">
      <c r="B53" s="8"/>
      <c r="C53" s="4" t="s">
        <v>15</v>
      </c>
      <c r="D53" s="4" t="s">
        <v>65</v>
      </c>
      <c r="E53" s="4" t="s">
        <v>66</v>
      </c>
    </row>
    <row r="54" spans="2:6" x14ac:dyDescent="0.2">
      <c r="B54" s="8" t="s">
        <v>47</v>
      </c>
      <c r="C54" s="8">
        <v>2.91</v>
      </c>
      <c r="D54" s="8">
        <v>976.47</v>
      </c>
      <c r="E54" s="15">
        <f>976.47*2.91</f>
        <v>2841.5277000000001</v>
      </c>
    </row>
    <row r="55" spans="2:6" x14ac:dyDescent="0.2">
      <c r="B55" s="8" t="s">
        <v>48</v>
      </c>
      <c r="C55" s="8">
        <v>2.85</v>
      </c>
      <c r="D55" s="8">
        <v>976.47</v>
      </c>
      <c r="E55" s="15">
        <f>976.47*2.85</f>
        <v>2782.9395</v>
      </c>
    </row>
    <row r="57" spans="2:6" ht="28.5" customHeight="1" x14ac:dyDescent="0.2">
      <c r="B57" s="74" t="s">
        <v>51</v>
      </c>
      <c r="C57" s="74"/>
      <c r="D57" s="74"/>
      <c r="E57" s="74"/>
    </row>
    <row r="59" spans="2:6" ht="64" x14ac:dyDescent="0.2">
      <c r="B59" s="8"/>
      <c r="C59" s="4" t="s">
        <v>15</v>
      </c>
      <c r="D59" s="4" t="s">
        <v>65</v>
      </c>
      <c r="E59" s="4" t="s">
        <v>66</v>
      </c>
    </row>
    <row r="60" spans="2:6" hidden="1" x14ac:dyDescent="0.2">
      <c r="B60" s="8" t="s">
        <v>50</v>
      </c>
      <c r="C60" s="8">
        <v>3.2</v>
      </c>
      <c r="D60" s="8">
        <v>976.47</v>
      </c>
      <c r="E60" s="15">
        <f>976.47*3.2</f>
        <v>3124.7040000000002</v>
      </c>
      <c r="F60" t="s">
        <v>75</v>
      </c>
    </row>
    <row r="61" spans="2:6" x14ac:dyDescent="0.2">
      <c r="B61" s="8" t="s">
        <v>76</v>
      </c>
      <c r="C61" s="8">
        <v>3.2</v>
      </c>
      <c r="D61" s="8">
        <v>926</v>
      </c>
      <c r="E61" s="15">
        <f>D61*C61</f>
        <v>2963.2000000000003</v>
      </c>
    </row>
    <row r="62" spans="2:6" x14ac:dyDescent="0.2">
      <c r="B62" s="8" t="s">
        <v>52</v>
      </c>
      <c r="C62" s="8">
        <v>4.93</v>
      </c>
      <c r="D62" s="8">
        <v>976.47</v>
      </c>
      <c r="E62" s="15">
        <f>976.47*4.93</f>
        <v>4813.9970999999996</v>
      </c>
    </row>
    <row r="63" spans="2:6" x14ac:dyDescent="0.2">
      <c r="B63" s="8" t="s">
        <v>53</v>
      </c>
      <c r="C63" s="8">
        <v>4.68</v>
      </c>
      <c r="D63" s="8">
        <v>976.47</v>
      </c>
      <c r="E63" s="15">
        <f>976.47*4.68</f>
        <v>4569.8796000000002</v>
      </c>
    </row>
    <row r="64" spans="2:6" x14ac:dyDescent="0.2">
      <c r="B64" s="8" t="s">
        <v>54</v>
      </c>
      <c r="C64" s="8">
        <v>4.68</v>
      </c>
      <c r="D64" s="8">
        <v>976.47</v>
      </c>
      <c r="E64" s="15">
        <f>976.47*4.68</f>
        <v>4569.8796000000002</v>
      </c>
    </row>
    <row r="65" spans="2:5" x14ac:dyDescent="0.2">
      <c r="B65" s="8" t="s">
        <v>55</v>
      </c>
      <c r="C65" s="8">
        <v>3.63</v>
      </c>
      <c r="D65" s="8">
        <v>976.47</v>
      </c>
      <c r="E65" s="15">
        <f>976.47*3.63</f>
        <v>3544.5861</v>
      </c>
    </row>
    <row r="66" spans="2:5" x14ac:dyDescent="0.2">
      <c r="B66" t="s">
        <v>77</v>
      </c>
    </row>
    <row r="68" spans="2:5" x14ac:dyDescent="0.2">
      <c r="B68" s="69" t="s">
        <v>70</v>
      </c>
      <c r="C68" s="69"/>
      <c r="D68" s="69"/>
      <c r="E68" s="69"/>
    </row>
    <row r="69" spans="2:5" x14ac:dyDescent="0.2">
      <c r="B69" s="14"/>
      <c r="C69" s="14"/>
      <c r="D69" s="14"/>
      <c r="E69" s="14"/>
    </row>
    <row r="70" spans="2:5" ht="64" x14ac:dyDescent="0.2">
      <c r="B70" s="8"/>
      <c r="C70" s="4" t="s">
        <v>72</v>
      </c>
      <c r="D70" s="4" t="s">
        <v>65</v>
      </c>
      <c r="E70" s="4" t="s">
        <v>66</v>
      </c>
    </row>
    <row r="71" spans="2:5" x14ac:dyDescent="0.2">
      <c r="B71" s="19" t="s">
        <v>71</v>
      </c>
      <c r="C71" s="8">
        <v>0.9</v>
      </c>
      <c r="D71" s="8">
        <v>968.03</v>
      </c>
      <c r="E71" s="15">
        <f>D71*0.9</f>
        <v>871.22699999999998</v>
      </c>
    </row>
    <row r="72" spans="2:5" x14ac:dyDescent="0.2">
      <c r="B72" s="19" t="s">
        <v>73</v>
      </c>
      <c r="C72" s="8">
        <v>2.4</v>
      </c>
      <c r="D72" s="8">
        <v>968.03</v>
      </c>
      <c r="E72" s="15">
        <f>D72*2.4</f>
        <v>2323.2719999999999</v>
      </c>
    </row>
    <row r="73" spans="2:5" x14ac:dyDescent="0.2">
      <c r="B73" s="19" t="s">
        <v>74</v>
      </c>
      <c r="C73" s="8">
        <v>3</v>
      </c>
      <c r="D73" s="8">
        <v>968.03</v>
      </c>
      <c r="E73" s="15">
        <f>D73*3</f>
        <v>2904.09</v>
      </c>
    </row>
  </sheetData>
  <mergeCells count="16">
    <mergeCell ref="B27:E27"/>
    <mergeCell ref="B30:E30"/>
    <mergeCell ref="B35:E35"/>
    <mergeCell ref="B41:E41"/>
    <mergeCell ref="B1:E1"/>
    <mergeCell ref="B38:E38"/>
    <mergeCell ref="B4:E4"/>
    <mergeCell ref="B15:E15"/>
    <mergeCell ref="B21:E21"/>
    <mergeCell ref="B11:E11"/>
    <mergeCell ref="B24:E24"/>
    <mergeCell ref="B68:E68"/>
    <mergeCell ref="B45:E45"/>
    <mergeCell ref="B48:E48"/>
    <mergeCell ref="B51:E51"/>
    <mergeCell ref="B57:E57"/>
  </mergeCells>
  <pageMargins left="0.7" right="0.7" top="0.75" bottom="0.75" header="0.3" footer="0.3"/>
  <pageSetup paperSize="9" scale="6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F153-5F63-430B-BBA6-E448124AF7D8}">
  <dimension ref="C2:N21"/>
  <sheetViews>
    <sheetView workbookViewId="0">
      <selection activeCell="I4" sqref="I4:N21"/>
    </sheetView>
  </sheetViews>
  <sheetFormatPr baseColWidth="10" defaultColWidth="8.83203125" defaultRowHeight="15" x14ac:dyDescent="0.2"/>
  <cols>
    <col min="11" max="11" width="12.5" customWidth="1"/>
    <col min="12" max="12" width="11.33203125" customWidth="1"/>
    <col min="13" max="13" width="13.5" customWidth="1"/>
    <col min="14" max="14" width="12.6640625" customWidth="1"/>
  </cols>
  <sheetData>
    <row r="2" spans="3:14" x14ac:dyDescent="0.2">
      <c r="G2">
        <v>1025.29</v>
      </c>
    </row>
    <row r="3" spans="3:14" ht="16" thickBot="1" x14ac:dyDescent="0.25"/>
    <row r="4" spans="3:14" ht="42.75" customHeight="1" thickBot="1" x14ac:dyDescent="0.25">
      <c r="C4" s="22" t="s">
        <v>78</v>
      </c>
      <c r="D4" s="76" t="s">
        <v>80</v>
      </c>
      <c r="E4" s="78" t="s">
        <v>81</v>
      </c>
      <c r="F4" s="79"/>
      <c r="G4" s="80"/>
      <c r="J4" s="25" t="s">
        <v>78</v>
      </c>
      <c r="K4" s="81" t="s">
        <v>80</v>
      </c>
      <c r="L4" s="83" t="s">
        <v>81</v>
      </c>
      <c r="M4" s="84"/>
      <c r="N4" s="85"/>
    </row>
    <row r="5" spans="3:14" ht="33" thickBot="1" x14ac:dyDescent="0.25">
      <c r="C5" s="23" t="s">
        <v>79</v>
      </c>
      <c r="D5" s="77"/>
      <c r="E5" s="24" t="s">
        <v>82</v>
      </c>
      <c r="F5" s="24" t="s">
        <v>83</v>
      </c>
      <c r="G5" s="24" t="s">
        <v>84</v>
      </c>
      <c r="J5" s="26" t="s">
        <v>79</v>
      </c>
      <c r="K5" s="82"/>
      <c r="L5" s="25" t="s">
        <v>82</v>
      </c>
      <c r="M5" s="25" t="s">
        <v>83</v>
      </c>
      <c r="N5" s="25" t="s">
        <v>84</v>
      </c>
    </row>
    <row r="6" spans="3:14" ht="18" thickBot="1" x14ac:dyDescent="0.25">
      <c r="C6" s="24" t="s">
        <v>85</v>
      </c>
      <c r="D6" s="24">
        <v>16</v>
      </c>
      <c r="E6" s="24">
        <v>3.0350000000000001</v>
      </c>
      <c r="F6" s="24">
        <v>4.3360000000000003</v>
      </c>
      <c r="G6" s="24">
        <v>4.55</v>
      </c>
      <c r="J6" s="27" t="s">
        <v>85</v>
      </c>
      <c r="K6" s="28">
        <v>16</v>
      </c>
      <c r="L6" s="29">
        <f>E6*G2</f>
        <v>3111.75515</v>
      </c>
      <c r="M6" s="29">
        <f>F6*G2</f>
        <v>4445.65744</v>
      </c>
      <c r="N6" s="29">
        <f>G6*G2</f>
        <v>4665.0694999999996</v>
      </c>
    </row>
    <row r="7" spans="3:14" ht="18" thickBot="1" x14ac:dyDescent="0.25">
      <c r="C7" s="24" t="s">
        <v>86</v>
      </c>
      <c r="D7" s="24">
        <v>15</v>
      </c>
      <c r="E7" s="24">
        <v>2.8359999999999999</v>
      </c>
      <c r="F7" s="24">
        <v>4.05</v>
      </c>
      <c r="G7" s="24">
        <v>4.3540000000000001</v>
      </c>
      <c r="J7" s="27" t="s">
        <v>86</v>
      </c>
      <c r="K7" s="28">
        <v>15</v>
      </c>
      <c r="L7" s="29">
        <f>E7*G2</f>
        <v>2907.7224399999996</v>
      </c>
      <c r="M7" s="29">
        <f>F7*G2</f>
        <v>4152.4245000000001</v>
      </c>
      <c r="N7" s="29">
        <f>G7*G2</f>
        <v>4464.1126599999998</v>
      </c>
    </row>
    <row r="8" spans="3:14" ht="18" thickBot="1" x14ac:dyDescent="0.25">
      <c r="C8" s="24" t="s">
        <v>87</v>
      </c>
      <c r="D8" s="24">
        <v>14</v>
      </c>
      <c r="E8" s="24">
        <v>2.3690000000000002</v>
      </c>
      <c r="F8" s="24">
        <v>3.3849999999999998</v>
      </c>
      <c r="G8" s="24">
        <v>4.0620000000000003</v>
      </c>
      <c r="J8" s="27" t="s">
        <v>87</v>
      </c>
      <c r="K8" s="28">
        <v>14</v>
      </c>
      <c r="L8" s="29">
        <f>E8*G2</f>
        <v>2428.91201</v>
      </c>
      <c r="M8" s="29">
        <f>F8*G2</f>
        <v>3470.6066499999997</v>
      </c>
      <c r="N8" s="29">
        <f>G8*G2</f>
        <v>4164.7279800000006</v>
      </c>
    </row>
    <row r="9" spans="3:14" ht="18" thickBot="1" x14ac:dyDescent="0.25">
      <c r="C9" s="24" t="s">
        <v>88</v>
      </c>
      <c r="D9" s="24">
        <v>13</v>
      </c>
      <c r="E9" s="24">
        <v>1.911</v>
      </c>
      <c r="F9" s="24">
        <v>2.73</v>
      </c>
      <c r="G9" s="24">
        <v>3.2759999999999998</v>
      </c>
      <c r="J9" s="27" t="s">
        <v>88</v>
      </c>
      <c r="K9" s="28">
        <v>13</v>
      </c>
      <c r="L9" s="29">
        <f>E9*G2</f>
        <v>1959.3291899999999</v>
      </c>
      <c r="M9" s="29">
        <f>F9*G2</f>
        <v>2799.0416999999998</v>
      </c>
      <c r="N9" s="29">
        <f>G9*G2</f>
        <v>3358.8500399999998</v>
      </c>
    </row>
    <row r="10" spans="3:14" ht="18" thickBot="1" x14ac:dyDescent="0.25">
      <c r="C10" s="24" t="s">
        <v>89</v>
      </c>
      <c r="D10" s="24">
        <v>12</v>
      </c>
      <c r="E10" s="24">
        <v>1.5349999999999999</v>
      </c>
      <c r="F10" s="24">
        <v>2.194</v>
      </c>
      <c r="G10" s="24">
        <v>2.7429999999999999</v>
      </c>
      <c r="J10" s="27" t="s">
        <v>89</v>
      </c>
      <c r="K10" s="28">
        <v>12</v>
      </c>
      <c r="L10" s="29">
        <f>E10*G2</f>
        <v>1573.8201499999998</v>
      </c>
      <c r="M10" s="29">
        <f>F10*G2</f>
        <v>2249.4862599999997</v>
      </c>
      <c r="N10" s="29">
        <f>G10*G2</f>
        <v>2812.3704699999998</v>
      </c>
    </row>
    <row r="11" spans="3:14" ht="18" thickBot="1" x14ac:dyDescent="0.25">
      <c r="C11" s="24" t="s">
        <v>90</v>
      </c>
      <c r="D11" s="24">
        <v>11</v>
      </c>
      <c r="E11" s="24">
        <v>1.23</v>
      </c>
      <c r="F11" s="24">
        <v>1.7569999999999999</v>
      </c>
      <c r="G11" s="24">
        <v>2.1970000000000001</v>
      </c>
      <c r="J11" s="27" t="s">
        <v>90</v>
      </c>
      <c r="K11" s="28">
        <v>11</v>
      </c>
      <c r="L11" s="29">
        <f>E11*G2</f>
        <v>1261.1067</v>
      </c>
      <c r="M11" s="29">
        <f>F11*G2</f>
        <v>1801.4345299999998</v>
      </c>
      <c r="N11" s="29">
        <f>G11*G2</f>
        <v>2252.5621299999998</v>
      </c>
    </row>
    <row r="12" spans="3:14" ht="18" thickBot="1" x14ac:dyDescent="0.25">
      <c r="C12" s="24" t="s">
        <v>91</v>
      </c>
      <c r="D12" s="24">
        <v>10</v>
      </c>
      <c r="E12" s="24">
        <v>1.0169999999999999</v>
      </c>
      <c r="F12" s="24">
        <v>1.4530000000000001</v>
      </c>
      <c r="G12" s="24">
        <v>1.8169999999999999</v>
      </c>
      <c r="J12" s="27" t="s">
        <v>91</v>
      </c>
      <c r="K12" s="28">
        <v>10</v>
      </c>
      <c r="L12" s="29">
        <f>E12*G2</f>
        <v>1042.71993</v>
      </c>
      <c r="M12" s="29">
        <f>F12*G2</f>
        <v>1489.7463700000001</v>
      </c>
      <c r="N12" s="29">
        <f>G12*G2</f>
        <v>1862.9519299999999</v>
      </c>
    </row>
    <row r="13" spans="3:14" ht="18" thickBot="1" x14ac:dyDescent="0.25">
      <c r="C13" s="24" t="s">
        <v>92</v>
      </c>
      <c r="D13" s="24">
        <v>9</v>
      </c>
      <c r="E13" s="24">
        <v>0.85</v>
      </c>
      <c r="F13" s="24">
        <v>1.2150000000000001</v>
      </c>
      <c r="G13" s="24">
        <v>1.579</v>
      </c>
      <c r="J13" s="27" t="s">
        <v>92</v>
      </c>
      <c r="K13" s="28">
        <v>9</v>
      </c>
      <c r="L13" s="29">
        <f>E13*G2</f>
        <v>871.49649999999997</v>
      </c>
      <c r="M13" s="29">
        <f>F13*G2</f>
        <v>1245.7273500000001</v>
      </c>
      <c r="N13" s="29">
        <f>G13*G2</f>
        <v>1618.93291</v>
      </c>
    </row>
    <row r="14" spans="3:14" ht="18" thickBot="1" x14ac:dyDescent="0.25">
      <c r="C14" s="24" t="s">
        <v>93</v>
      </c>
      <c r="D14" s="24">
        <v>8</v>
      </c>
      <c r="E14" s="24">
        <v>0.79600000000000004</v>
      </c>
      <c r="F14" s="24">
        <v>1.137</v>
      </c>
      <c r="G14" s="24">
        <v>1.4790000000000001</v>
      </c>
      <c r="J14" s="27" t="s">
        <v>93</v>
      </c>
      <c r="K14" s="28">
        <v>8</v>
      </c>
      <c r="L14" s="29">
        <f>E14*G2</f>
        <v>816.13084000000003</v>
      </c>
      <c r="M14" s="29">
        <f>F14*G2</f>
        <v>1165.7547299999999</v>
      </c>
      <c r="N14" s="29">
        <f>G14*G2</f>
        <v>1516.40391</v>
      </c>
    </row>
    <row r="15" spans="3:14" ht="18" thickBot="1" x14ac:dyDescent="0.25">
      <c r="C15" s="24" t="s">
        <v>94</v>
      </c>
      <c r="D15" s="24">
        <v>7</v>
      </c>
      <c r="E15" s="24">
        <v>0.66600000000000004</v>
      </c>
      <c r="F15" s="24">
        <v>0.95</v>
      </c>
      <c r="G15" s="24">
        <v>1.236</v>
      </c>
      <c r="J15" s="27" t="s">
        <v>94</v>
      </c>
      <c r="K15" s="28">
        <v>7</v>
      </c>
      <c r="L15" s="29">
        <f>E15*G2</f>
        <v>682.84314000000006</v>
      </c>
      <c r="M15" s="29">
        <f>F15*G2</f>
        <v>974.02549999999997</v>
      </c>
      <c r="N15" s="29">
        <f>G15*G2</f>
        <v>1267.2584399999998</v>
      </c>
    </row>
    <row r="16" spans="3:14" ht="18" thickBot="1" x14ac:dyDescent="0.25">
      <c r="C16" s="24" t="s">
        <v>95</v>
      </c>
      <c r="D16" s="24">
        <v>6</v>
      </c>
      <c r="E16" s="24">
        <v>0.623</v>
      </c>
      <c r="F16" s="24">
        <v>0.89</v>
      </c>
      <c r="G16" s="24">
        <v>1.1559999999999999</v>
      </c>
      <c r="J16" s="27" t="s">
        <v>95</v>
      </c>
      <c r="K16" s="28">
        <v>6</v>
      </c>
      <c r="L16" s="29">
        <f>E16*G2</f>
        <v>638.75567000000001</v>
      </c>
      <c r="M16" s="29">
        <f>F16*G2</f>
        <v>912.50810000000001</v>
      </c>
      <c r="N16" s="29">
        <f>G16*G2</f>
        <v>1185.23524</v>
      </c>
    </row>
    <row r="17" spans="3:14" ht="18" thickBot="1" x14ac:dyDescent="0.25">
      <c r="C17" s="24" t="s">
        <v>96</v>
      </c>
      <c r="D17" s="24">
        <v>5</v>
      </c>
      <c r="E17" s="24">
        <v>0.58199999999999996</v>
      </c>
      <c r="F17" s="24">
        <v>0.83199999999999996</v>
      </c>
      <c r="G17" s="24">
        <v>1.08</v>
      </c>
      <c r="J17" s="27" t="s">
        <v>96</v>
      </c>
      <c r="K17" s="28">
        <v>5</v>
      </c>
      <c r="L17" s="29">
        <f>E17*G2</f>
        <v>596.71877999999992</v>
      </c>
      <c r="M17" s="29">
        <f>F17*G2</f>
        <v>853.04127999999992</v>
      </c>
      <c r="N17" s="29">
        <f>G17*G2</f>
        <v>1107.3132000000001</v>
      </c>
    </row>
    <row r="18" spans="3:14" ht="18" thickBot="1" x14ac:dyDescent="0.25">
      <c r="C18" s="24" t="s">
        <v>97</v>
      </c>
      <c r="D18" s="24">
        <v>4</v>
      </c>
      <c r="E18" s="24">
        <v>0.56999999999999995</v>
      </c>
      <c r="F18" s="24">
        <v>0.81399999999999995</v>
      </c>
      <c r="G18" s="24">
        <v>1.0589999999999999</v>
      </c>
      <c r="J18" s="27" t="s">
        <v>97</v>
      </c>
      <c r="K18" s="28">
        <v>4</v>
      </c>
      <c r="L18" s="29">
        <f>E18*G2</f>
        <v>584.41529999999989</v>
      </c>
      <c r="M18" s="29">
        <f>F18*G2</f>
        <v>834.58605999999986</v>
      </c>
      <c r="N18" s="29">
        <f>G18*G2</f>
        <v>1085.7821099999999</v>
      </c>
    </row>
    <row r="19" spans="3:14" ht="18" thickBot="1" x14ac:dyDescent="0.25">
      <c r="C19" s="24" t="s">
        <v>98</v>
      </c>
      <c r="D19" s="24">
        <v>3</v>
      </c>
      <c r="E19" s="24">
        <v>0.441</v>
      </c>
      <c r="F19" s="24">
        <v>0.59199999999999997</v>
      </c>
      <c r="G19" s="24">
        <v>0.76900000000000002</v>
      </c>
      <c r="J19" s="27" t="s">
        <v>98</v>
      </c>
      <c r="K19" s="28">
        <v>3</v>
      </c>
      <c r="L19" s="29">
        <f>E19*G2</f>
        <v>452.15289000000001</v>
      </c>
      <c r="M19" s="29">
        <f>F19*G2</f>
        <v>606.97167999999999</v>
      </c>
      <c r="N19" s="29">
        <f>G19*G2</f>
        <v>788.44800999999995</v>
      </c>
    </row>
    <row r="20" spans="3:14" ht="18" thickBot="1" x14ac:dyDescent="0.25">
      <c r="C20" s="24" t="s">
        <v>99</v>
      </c>
      <c r="D20" s="24">
        <v>2</v>
      </c>
      <c r="E20" s="24">
        <v>0.441</v>
      </c>
      <c r="F20" s="24">
        <v>0.58099999999999996</v>
      </c>
      <c r="G20" s="24">
        <v>0.755</v>
      </c>
      <c r="J20" s="27" t="s">
        <v>99</v>
      </c>
      <c r="K20" s="28">
        <v>2</v>
      </c>
      <c r="L20" s="29">
        <f>E20*G2</f>
        <v>452.15289000000001</v>
      </c>
      <c r="M20" s="29">
        <f>F20*G2</f>
        <v>595.69348999999988</v>
      </c>
      <c r="N20" s="29">
        <f>G20*G2</f>
        <v>774.09394999999995</v>
      </c>
    </row>
    <row r="21" spans="3:14" ht="18" thickBot="1" x14ac:dyDescent="0.25">
      <c r="C21" s="24" t="s">
        <v>100</v>
      </c>
      <c r="D21" s="24">
        <v>1</v>
      </c>
      <c r="E21" s="24">
        <v>0.441</v>
      </c>
      <c r="F21" s="24">
        <v>0.56200000000000006</v>
      </c>
      <c r="G21" s="24">
        <v>0.73099999999999998</v>
      </c>
      <c r="J21" s="27" t="s">
        <v>100</v>
      </c>
      <c r="K21" s="28">
        <v>1</v>
      </c>
      <c r="L21" s="29">
        <f>E21*G2</f>
        <v>452.15289000000001</v>
      </c>
      <c r="M21" s="29">
        <f>F21*G2</f>
        <v>576.21298000000002</v>
      </c>
      <c r="N21" s="29">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962A-B044-4540-9529-3F3924F999CA}">
  <dimension ref="B2:I20"/>
  <sheetViews>
    <sheetView tabSelected="1" topLeftCell="A2" zoomScale="160" zoomScaleNormal="160" workbookViewId="0">
      <selection activeCell="L7" sqref="L7"/>
    </sheetView>
  </sheetViews>
  <sheetFormatPr baseColWidth="10" defaultRowHeight="15" x14ac:dyDescent="0.2"/>
  <cols>
    <col min="1" max="1" width="5.5" customWidth="1"/>
    <col min="2" max="2" width="11" customWidth="1"/>
  </cols>
  <sheetData>
    <row r="2" spans="2:9" x14ac:dyDescent="0.2">
      <c r="B2" s="54" t="s">
        <v>120</v>
      </c>
      <c r="C2" s="54" t="s">
        <v>85</v>
      </c>
      <c r="D2" s="54" t="s">
        <v>86</v>
      </c>
      <c r="E2" s="54" t="s">
        <v>87</v>
      </c>
      <c r="F2" s="54" t="s">
        <v>88</v>
      </c>
      <c r="G2" s="54" t="s">
        <v>89</v>
      </c>
      <c r="H2" s="54" t="s">
        <v>90</v>
      </c>
      <c r="I2" s="54" t="s">
        <v>91</v>
      </c>
    </row>
    <row r="3" spans="2:9" ht="32" x14ac:dyDescent="0.2">
      <c r="B3" s="66" t="s">
        <v>80</v>
      </c>
      <c r="C3" s="61" t="s">
        <v>118</v>
      </c>
      <c r="D3" s="51"/>
      <c r="E3" s="51"/>
      <c r="F3" s="62" t="s">
        <v>117</v>
      </c>
      <c r="G3" s="30"/>
      <c r="H3" s="30"/>
      <c r="I3" s="63" t="s">
        <v>119</v>
      </c>
    </row>
    <row r="4" spans="2:9" x14ac:dyDescent="0.2">
      <c r="B4" s="52" t="s">
        <v>85</v>
      </c>
      <c r="C4" s="59">
        <v>543</v>
      </c>
      <c r="D4" s="55">
        <v>543</v>
      </c>
      <c r="E4" s="53">
        <f>F4*0.85</f>
        <v>522.54268499999989</v>
      </c>
      <c r="F4" s="57">
        <f>0.581*1058.1</f>
        <v>614.75609999999995</v>
      </c>
      <c r="G4" s="65">
        <f t="shared" ref="G4:G11" si="0">F4*1.13</f>
        <v>694.6743929999999</v>
      </c>
      <c r="H4" s="65">
        <f t="shared" ref="H4:H20" si="1">G4*1.08</f>
        <v>750.24834443999998</v>
      </c>
      <c r="I4" s="58">
        <f>0.755*1058.1</f>
        <v>798.86549999999988</v>
      </c>
    </row>
    <row r="5" spans="2:9" x14ac:dyDescent="0.2">
      <c r="B5" s="52" t="s">
        <v>86</v>
      </c>
      <c r="C5" s="59">
        <f>0.513*1058.1</f>
        <v>542.80529999999999</v>
      </c>
      <c r="D5" s="65">
        <v>543</v>
      </c>
      <c r="E5" s="53">
        <f t="shared" ref="E5:E20" si="2">F5*0.85</f>
        <v>532.4359199999999</v>
      </c>
      <c r="F5" s="57">
        <f>0.592*1058.1</f>
        <v>626.39519999999993</v>
      </c>
      <c r="G5" s="65">
        <f t="shared" si="0"/>
        <v>707.82657599999982</v>
      </c>
      <c r="H5" s="65">
        <f t="shared" si="1"/>
        <v>764.45270207999988</v>
      </c>
      <c r="I5" s="58">
        <f>0.769*1058.1</f>
        <v>813.6789</v>
      </c>
    </row>
    <row r="6" spans="2:9" x14ac:dyDescent="0.2">
      <c r="B6" s="52" t="s">
        <v>87</v>
      </c>
      <c r="C6" s="59">
        <f>0.57*1058.1</f>
        <v>603.11699999999985</v>
      </c>
      <c r="D6" s="65">
        <f t="shared" ref="D6:D20" si="3">E6*0.85</f>
        <v>622.28448149999986</v>
      </c>
      <c r="E6" s="65">
        <f t="shared" si="2"/>
        <v>732.09938999999986</v>
      </c>
      <c r="F6" s="57">
        <f>0.814*1058.1</f>
        <v>861.29339999999991</v>
      </c>
      <c r="G6" s="65">
        <f t="shared" si="0"/>
        <v>973.26154199999985</v>
      </c>
      <c r="H6" s="65">
        <f t="shared" si="1"/>
        <v>1051.12246536</v>
      </c>
      <c r="I6" s="58">
        <f>1.059*1058.1</f>
        <v>1120.5278999999998</v>
      </c>
    </row>
    <row r="7" spans="2:9" x14ac:dyDescent="0.2">
      <c r="B7" s="52" t="s">
        <v>88</v>
      </c>
      <c r="C7" s="59">
        <f>0.582*1058.1</f>
        <v>615.81419999999991</v>
      </c>
      <c r="D7" s="65">
        <f t="shared" si="3"/>
        <v>636.04507199999989</v>
      </c>
      <c r="E7" s="65">
        <f t="shared" si="2"/>
        <v>748.28831999999989</v>
      </c>
      <c r="F7" s="57">
        <f>0.832*1058.1</f>
        <v>880.33919999999989</v>
      </c>
      <c r="G7" s="65">
        <f t="shared" si="0"/>
        <v>994.78329599999984</v>
      </c>
      <c r="H7" s="65">
        <f t="shared" si="1"/>
        <v>1074.3659596799998</v>
      </c>
      <c r="I7" s="58">
        <f>1.08*1058.1</f>
        <v>1142.748</v>
      </c>
    </row>
    <row r="8" spans="2:9" x14ac:dyDescent="0.2">
      <c r="B8" s="52" t="s">
        <v>89</v>
      </c>
      <c r="C8" s="59">
        <f>0.623*1058.1</f>
        <v>659.19629999999995</v>
      </c>
      <c r="D8" s="65">
        <f>E8*0.9</f>
        <v>720.40738499999998</v>
      </c>
      <c r="E8" s="65">
        <f t="shared" si="2"/>
        <v>800.45264999999995</v>
      </c>
      <c r="F8" s="57">
        <f>0.89*1058.1</f>
        <v>941.70899999999995</v>
      </c>
      <c r="G8" s="65">
        <f t="shared" si="0"/>
        <v>1064.1311699999999</v>
      </c>
      <c r="H8" s="65">
        <f t="shared" si="1"/>
        <v>1149.2616636</v>
      </c>
      <c r="I8" s="58">
        <f>1.156*1058.1</f>
        <v>1223.1635999999999</v>
      </c>
    </row>
    <row r="9" spans="2:9" x14ac:dyDescent="0.2">
      <c r="B9" s="52" t="s">
        <v>90</v>
      </c>
      <c r="C9" s="59">
        <f>0.666*1058.1</f>
        <v>704.69459999999992</v>
      </c>
      <c r="D9" s="65">
        <f>E9*0.9</f>
        <v>814.20794999999987</v>
      </c>
      <c r="E9" s="65">
        <f>F9*0.9</f>
        <v>904.67549999999983</v>
      </c>
      <c r="F9" s="57">
        <f>0.95*1058.1</f>
        <v>1005.1949999999998</v>
      </c>
      <c r="G9" s="65">
        <f t="shared" si="0"/>
        <v>1135.8703499999997</v>
      </c>
      <c r="H9" s="65">
        <f t="shared" si="1"/>
        <v>1226.7399779999998</v>
      </c>
      <c r="I9" s="58">
        <f>1.236*1058.1</f>
        <v>1307.8115999999998</v>
      </c>
    </row>
    <row r="10" spans="2:9" x14ac:dyDescent="0.2">
      <c r="B10" s="52" t="s">
        <v>91</v>
      </c>
      <c r="C10" s="59">
        <f>0.796*1058.1</f>
        <v>842.24759999999992</v>
      </c>
      <c r="D10" s="65">
        <f>E10*0.9</f>
        <v>996.13343159999999</v>
      </c>
      <c r="E10" s="65">
        <f>F10*0.92</f>
        <v>1106.814924</v>
      </c>
      <c r="F10" s="57">
        <f>1.137*1058.1</f>
        <v>1203.0597</v>
      </c>
      <c r="G10" s="65">
        <f t="shared" si="0"/>
        <v>1359.457461</v>
      </c>
      <c r="H10" s="65">
        <f t="shared" si="1"/>
        <v>1468.2140578800002</v>
      </c>
      <c r="I10" s="58">
        <f>1.479*1058.1</f>
        <v>1564.9298999999999</v>
      </c>
    </row>
    <row r="11" spans="2:9" x14ac:dyDescent="0.2">
      <c r="B11" s="52" t="s">
        <v>92</v>
      </c>
      <c r="C11" s="59">
        <f>0.85*1058.1</f>
        <v>899.38499999999988</v>
      </c>
      <c r="D11" s="65">
        <f t="shared" si="3"/>
        <v>1009.4697239999999</v>
      </c>
      <c r="E11" s="65">
        <f>F11*0.92</f>
        <v>1187.6114399999999</v>
      </c>
      <c r="F11" s="57">
        <f>1.22*1058.1</f>
        <v>1290.8819999999998</v>
      </c>
      <c r="G11" s="65">
        <f t="shared" si="0"/>
        <v>1458.6966599999996</v>
      </c>
      <c r="H11" s="65">
        <f t="shared" si="1"/>
        <v>1575.3923927999997</v>
      </c>
      <c r="I11" s="58">
        <f>1.579*1058.1</f>
        <v>1670.7398999999998</v>
      </c>
    </row>
    <row r="12" spans="2:9" x14ac:dyDescent="0.2">
      <c r="B12" s="52" t="s">
        <v>93</v>
      </c>
      <c r="C12" s="59">
        <f>1.017*1058.1</f>
        <v>1076.0876999999998</v>
      </c>
      <c r="D12" s="65">
        <f t="shared" si="3"/>
        <v>1110.78544425</v>
      </c>
      <c r="E12" s="65">
        <f t="shared" si="2"/>
        <v>1306.806405</v>
      </c>
      <c r="F12" s="57">
        <f>1.453*1058.1</f>
        <v>1537.4193</v>
      </c>
      <c r="G12" s="65">
        <f>F12*1.1</f>
        <v>1691.1612300000002</v>
      </c>
      <c r="H12" s="65">
        <f t="shared" si="1"/>
        <v>1826.4541284000004</v>
      </c>
      <c r="I12" s="58">
        <f>1.817*1058.1</f>
        <v>1922.5676999999998</v>
      </c>
    </row>
    <row r="13" spans="2:9" x14ac:dyDescent="0.2">
      <c r="B13" s="52" t="s">
        <v>94</v>
      </c>
      <c r="C13" s="59">
        <f>1.23*1058.1</f>
        <v>1301.463</v>
      </c>
      <c r="D13" s="65">
        <f>E13*0.88</f>
        <v>1472.3927063999997</v>
      </c>
      <c r="E13" s="65">
        <f>F13*0.9</f>
        <v>1673.1735299999998</v>
      </c>
      <c r="F13" s="57">
        <f>1.757*1058.1</f>
        <v>1859.0816999999997</v>
      </c>
      <c r="G13" s="65">
        <f>F13*1.1</f>
        <v>2044.9898699999999</v>
      </c>
      <c r="H13" s="65">
        <f t="shared" si="1"/>
        <v>2208.5890595999999</v>
      </c>
      <c r="I13" s="58">
        <f>2.197*1058.1</f>
        <v>2324.6457</v>
      </c>
    </row>
    <row r="14" spans="2:9" x14ac:dyDescent="0.2">
      <c r="B14" s="52" t="s">
        <v>95</v>
      </c>
      <c r="C14" s="59">
        <f>1.535*1058.1</f>
        <v>1624.1834999999999</v>
      </c>
      <c r="D14" s="65">
        <f>E14*0.9</f>
        <v>1775.9256209999999</v>
      </c>
      <c r="E14" s="65">
        <f t="shared" si="2"/>
        <v>1973.2506899999998</v>
      </c>
      <c r="F14" s="57">
        <f>2.194*1058.1</f>
        <v>2321.4713999999999</v>
      </c>
      <c r="G14" s="65">
        <f>F14*1.1</f>
        <v>2553.6185399999999</v>
      </c>
      <c r="H14" s="65">
        <f t="shared" si="1"/>
        <v>2757.9080232000001</v>
      </c>
      <c r="I14" s="58">
        <f>2.743*1058.1</f>
        <v>2902.3682999999996</v>
      </c>
    </row>
    <row r="15" spans="2:9" x14ac:dyDescent="0.2">
      <c r="B15" s="52" t="s">
        <v>96</v>
      </c>
      <c r="C15" s="59">
        <f>1.911*1058.1</f>
        <v>2022.0291</v>
      </c>
      <c r="D15" s="65">
        <f>E15*0.9</f>
        <v>2209.7889450000002</v>
      </c>
      <c r="E15" s="65">
        <f t="shared" si="2"/>
        <v>2455.32105</v>
      </c>
      <c r="F15" s="57">
        <f>2.73*1058.1</f>
        <v>2888.6129999999998</v>
      </c>
      <c r="G15" s="65">
        <f>F15*1.1</f>
        <v>3177.4742999999999</v>
      </c>
      <c r="H15" s="65">
        <f t="shared" si="1"/>
        <v>3431.6722439999999</v>
      </c>
      <c r="I15" s="58">
        <f>3.276*1058.1</f>
        <v>3466.3355999999994</v>
      </c>
    </row>
    <row r="16" spans="2:9" x14ac:dyDescent="0.2">
      <c r="B16" s="52" t="s">
        <v>97</v>
      </c>
      <c r="C16" s="59">
        <f>2.369*1058.1</f>
        <v>2506.6388999999999</v>
      </c>
      <c r="D16" s="65">
        <f t="shared" si="3"/>
        <v>2739.9764024999995</v>
      </c>
      <c r="E16" s="65">
        <f>F16*0.9</f>
        <v>3223.5016499999992</v>
      </c>
      <c r="F16" s="57">
        <f>3.385*1058.1</f>
        <v>3581.6684999999993</v>
      </c>
      <c r="G16" s="65">
        <f>F16*1.05</f>
        <v>3760.7519249999996</v>
      </c>
      <c r="H16" s="65">
        <f t="shared" si="1"/>
        <v>4061.612079</v>
      </c>
      <c r="I16" s="58">
        <f>4.062*1058.1</f>
        <v>4298.0021999999999</v>
      </c>
    </row>
    <row r="17" spans="2:9" x14ac:dyDescent="0.2">
      <c r="B17" s="52" t="s">
        <v>98</v>
      </c>
      <c r="C17" s="59">
        <f>2.836*1058.1</f>
        <v>3000.7715999999996</v>
      </c>
      <c r="D17" s="65">
        <f>E17*0.9</f>
        <v>3471.0970499999999</v>
      </c>
      <c r="E17" s="65">
        <f>F17*0.9</f>
        <v>3856.7744999999995</v>
      </c>
      <c r="F17" s="57">
        <f>4.05*1058.1</f>
        <v>4285.3049999999994</v>
      </c>
      <c r="G17" s="65">
        <f>F17*1.05</f>
        <v>4499.5702499999998</v>
      </c>
      <c r="H17" s="65">
        <f t="shared" si="1"/>
        <v>4859.5358699999997</v>
      </c>
      <c r="I17" s="58">
        <f>4.86*1058.1</f>
        <v>5142.366</v>
      </c>
    </row>
    <row r="18" spans="2:9" x14ac:dyDescent="0.2">
      <c r="B18" s="52" t="s">
        <v>99</v>
      </c>
      <c r="C18" s="59">
        <f>3.194*1058.1</f>
        <v>3379.5713999999998</v>
      </c>
      <c r="D18" s="65">
        <f>E18*0.88</f>
        <v>3907.9814611199999</v>
      </c>
      <c r="E18" s="65">
        <f>F18*0.92</f>
        <v>4440.8880239999999</v>
      </c>
      <c r="F18" s="57">
        <f>4.562*1058.1</f>
        <v>4827.0522000000001</v>
      </c>
      <c r="G18" s="65">
        <f>F18*1.05</f>
        <v>5068.40481</v>
      </c>
      <c r="H18" s="65">
        <f t="shared" si="1"/>
        <v>5473.8771948000003</v>
      </c>
      <c r="I18" s="58">
        <f>5.475*1058.1</f>
        <v>5793.0974999999989</v>
      </c>
    </row>
    <row r="19" spans="2:9" x14ac:dyDescent="0.2">
      <c r="B19" s="52" t="s">
        <v>100</v>
      </c>
      <c r="C19" s="59">
        <f>3.355*1058.1</f>
        <v>3549.9254999999998</v>
      </c>
      <c r="D19" s="65">
        <f>E19*0.9</f>
        <v>4107.8933729999999</v>
      </c>
      <c r="E19" s="65">
        <f>F19*0.9</f>
        <v>4564.3259699999999</v>
      </c>
      <c r="F19" s="57">
        <f>4.793*1058.1</f>
        <v>5071.4732999999997</v>
      </c>
      <c r="G19" s="65">
        <f>F19*1.05</f>
        <v>5325.0469649999995</v>
      </c>
      <c r="H19" s="65">
        <f t="shared" si="1"/>
        <v>5751.0507221999997</v>
      </c>
      <c r="I19" s="58">
        <f>5.751*1058.1</f>
        <v>6085.1331</v>
      </c>
    </row>
    <row r="20" spans="2:9" x14ac:dyDescent="0.2">
      <c r="B20" s="52" t="s">
        <v>104</v>
      </c>
      <c r="C20" s="59">
        <f>3.684*1058.1</f>
        <v>3898.0403999999999</v>
      </c>
      <c r="D20" s="53">
        <f t="shared" si="3"/>
        <v>4023.4437667499997</v>
      </c>
      <c r="E20" s="53">
        <f t="shared" si="2"/>
        <v>4733.4632549999997</v>
      </c>
      <c r="F20" s="57">
        <f>5.263*1058.1</f>
        <v>5568.7802999999994</v>
      </c>
      <c r="G20" s="65">
        <f>F20*1.05</f>
        <v>5847.2193149999994</v>
      </c>
      <c r="H20" s="65">
        <f t="shared" si="1"/>
        <v>6314.9968601999999</v>
      </c>
      <c r="I20" s="58">
        <f>6.051*1058.1</f>
        <v>6402.5630999999994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004A3-EC0C-E543-BD4C-0C2BF09B6F8D}">
  <dimension ref="B2:K21"/>
  <sheetViews>
    <sheetView zoomScale="130" zoomScaleNormal="130" workbookViewId="0">
      <selection activeCell="E24" sqref="E24"/>
    </sheetView>
  </sheetViews>
  <sheetFormatPr baseColWidth="10" defaultRowHeight="15" x14ac:dyDescent="0.2"/>
  <cols>
    <col min="1" max="1" width="5.5" customWidth="1"/>
    <col min="2" max="2" width="14.1640625" customWidth="1"/>
  </cols>
  <sheetData>
    <row r="2" spans="2:11" x14ac:dyDescent="0.2">
      <c r="B2" s="60" t="s">
        <v>80</v>
      </c>
      <c r="C2" s="61" t="s">
        <v>118</v>
      </c>
      <c r="D2" s="67"/>
      <c r="E2" s="67"/>
      <c r="F2" s="67"/>
      <c r="G2" s="62" t="s">
        <v>117</v>
      </c>
      <c r="H2" s="30"/>
      <c r="I2" s="30"/>
      <c r="J2" s="30"/>
      <c r="K2" s="63" t="s">
        <v>119</v>
      </c>
    </row>
    <row r="3" spans="2:11" x14ac:dyDescent="0.2">
      <c r="B3" s="54" t="s">
        <v>120</v>
      </c>
      <c r="C3" s="54">
        <v>1</v>
      </c>
      <c r="D3" s="54">
        <v>2</v>
      </c>
      <c r="E3" s="54">
        <v>3</v>
      </c>
      <c r="F3" s="54">
        <v>4</v>
      </c>
      <c r="G3" s="54">
        <v>5</v>
      </c>
      <c r="H3" s="54">
        <v>6</v>
      </c>
      <c r="I3" s="54">
        <v>7</v>
      </c>
      <c r="J3" s="54">
        <v>8</v>
      </c>
      <c r="K3" s="54">
        <v>9</v>
      </c>
    </row>
    <row r="4" spans="2:11" x14ac:dyDescent="0.2">
      <c r="B4" s="52">
        <v>1</v>
      </c>
      <c r="C4" s="55">
        <v>543</v>
      </c>
      <c r="D4" s="55">
        <v>543</v>
      </c>
      <c r="E4" s="55">
        <v>543</v>
      </c>
      <c r="F4" s="53">
        <f>G4*0.9</f>
        <v>553.28048999999999</v>
      </c>
      <c r="G4" s="57">
        <f>0.581*1058.1</f>
        <v>614.75609999999995</v>
      </c>
      <c r="H4" s="55">
        <f>G4*1.07</f>
        <v>657.78902700000003</v>
      </c>
      <c r="I4" s="55">
        <f>H4*1.07</f>
        <v>703.83425889000011</v>
      </c>
      <c r="J4" s="55">
        <f>I4*1.07</f>
        <v>753.10265701230014</v>
      </c>
      <c r="K4" s="58">
        <f>0.755*1058.1</f>
        <v>798.86549999999988</v>
      </c>
    </row>
    <row r="5" spans="2:11" x14ac:dyDescent="0.2">
      <c r="B5" s="52">
        <v>2</v>
      </c>
      <c r="C5" s="55">
        <f>0.513*1058.1</f>
        <v>542.80529999999999</v>
      </c>
      <c r="D5" s="55">
        <v>543</v>
      </c>
      <c r="E5" s="55">
        <v>543</v>
      </c>
      <c r="F5" s="53">
        <f t="shared" ref="D5:F20" si="0">G5*0.9</f>
        <v>563.75567999999998</v>
      </c>
      <c r="G5" s="57">
        <f>0.592*1058.1</f>
        <v>626.39519999999993</v>
      </c>
      <c r="H5" s="55">
        <f>G5*1.07</f>
        <v>670.24286399999994</v>
      </c>
      <c r="I5" s="55">
        <f>H5*1.07</f>
        <v>717.15986448000001</v>
      </c>
      <c r="J5" s="55">
        <f>I5*1.07</f>
        <v>767.36105499360008</v>
      </c>
      <c r="K5" s="58">
        <f>0.769*1058.1</f>
        <v>813.6789</v>
      </c>
    </row>
    <row r="6" spans="2:11" x14ac:dyDescent="0.2">
      <c r="B6" s="52">
        <v>3</v>
      </c>
      <c r="C6" s="59">
        <f>0.57*1058.1</f>
        <v>603.11699999999985</v>
      </c>
      <c r="D6" s="53">
        <f t="shared" ref="D6:E19" si="1">E6*0.9</f>
        <v>627.8828886</v>
      </c>
      <c r="E6" s="53">
        <f t="shared" si="1"/>
        <v>697.64765399999999</v>
      </c>
      <c r="F6" s="53">
        <f t="shared" si="0"/>
        <v>775.16405999999995</v>
      </c>
      <c r="G6" s="57">
        <f>0.814*1058.1</f>
        <v>861.29339999999991</v>
      </c>
      <c r="H6" s="55">
        <f>G6*1.07</f>
        <v>921.58393799999999</v>
      </c>
      <c r="I6" s="55">
        <f>H6*1.07</f>
        <v>986.09481366</v>
      </c>
      <c r="J6" s="55">
        <f>I6*1.07</f>
        <v>1055.1214506162</v>
      </c>
      <c r="K6" s="58">
        <f>1.059*1058.1</f>
        <v>1120.5278999999998</v>
      </c>
    </row>
    <row r="7" spans="2:11" x14ac:dyDescent="0.2">
      <c r="B7" s="52">
        <v>4</v>
      </c>
      <c r="C7" s="59">
        <f>0.582*1058.1</f>
        <v>615.81419999999991</v>
      </c>
      <c r="D7" s="53">
        <f t="shared" si="1"/>
        <v>641.76727679999999</v>
      </c>
      <c r="E7" s="53">
        <f t="shared" si="1"/>
        <v>713.07475199999999</v>
      </c>
      <c r="F7" s="53">
        <f t="shared" si="0"/>
        <v>792.30527999999993</v>
      </c>
      <c r="G7" s="57">
        <f>0.832*1058.1</f>
        <v>880.33919999999989</v>
      </c>
      <c r="H7" s="55">
        <f>G7*1.07</f>
        <v>941.96294399999999</v>
      </c>
      <c r="I7" s="55">
        <f>H7*1.07</f>
        <v>1007.9003500800001</v>
      </c>
      <c r="J7" s="55">
        <f>I7*1.07</f>
        <v>1078.4533745856002</v>
      </c>
      <c r="K7" s="58">
        <f>1.08*1058.1</f>
        <v>1142.748</v>
      </c>
    </row>
    <row r="8" spans="2:11" x14ac:dyDescent="0.2">
      <c r="B8" s="52">
        <v>5</v>
      </c>
      <c r="C8" s="59">
        <f>0.623*1058.1</f>
        <v>659.19629999999995</v>
      </c>
      <c r="D8" s="53">
        <f t="shared" si="1"/>
        <v>686.5058610000001</v>
      </c>
      <c r="E8" s="53">
        <f t="shared" si="1"/>
        <v>762.78429000000006</v>
      </c>
      <c r="F8" s="53">
        <f t="shared" si="0"/>
        <v>847.53809999999999</v>
      </c>
      <c r="G8" s="57">
        <f>0.89*1058.1</f>
        <v>941.70899999999995</v>
      </c>
      <c r="H8" s="55">
        <f>G8*1.07</f>
        <v>1007.62863</v>
      </c>
      <c r="I8" s="55">
        <f>H8*1.07</f>
        <v>1078.1626341000001</v>
      </c>
      <c r="J8" s="55">
        <f>I8*1.07</f>
        <v>1153.6340184870003</v>
      </c>
      <c r="K8" s="58">
        <f>1.156*1058.1</f>
        <v>1223.1635999999999</v>
      </c>
    </row>
    <row r="9" spans="2:11" x14ac:dyDescent="0.2">
      <c r="B9" s="52">
        <v>6</v>
      </c>
      <c r="C9" s="59">
        <f>0.666*1058.1</f>
        <v>704.69459999999992</v>
      </c>
      <c r="D9" s="53">
        <f t="shared" si="1"/>
        <v>732.78715499999987</v>
      </c>
      <c r="E9" s="53">
        <f t="shared" si="1"/>
        <v>814.20794999999987</v>
      </c>
      <c r="F9" s="53">
        <f t="shared" si="0"/>
        <v>904.67549999999983</v>
      </c>
      <c r="G9" s="57">
        <f>0.95*1058.1</f>
        <v>1005.1949999999998</v>
      </c>
      <c r="H9" s="55">
        <f>G9*1.07</f>
        <v>1075.5586499999999</v>
      </c>
      <c r="I9" s="55">
        <f>H9*1.07</f>
        <v>1150.8477554999999</v>
      </c>
      <c r="J9" s="55">
        <f>I9*1.07</f>
        <v>1231.4070983849999</v>
      </c>
      <c r="K9" s="58">
        <f>1.236*1058.1</f>
        <v>1307.8115999999998</v>
      </c>
    </row>
    <row r="10" spans="2:11" x14ac:dyDescent="0.2">
      <c r="B10" s="52">
        <v>7</v>
      </c>
      <c r="C10" s="59">
        <f>0.796*1058.1</f>
        <v>842.24759999999992</v>
      </c>
      <c r="D10" s="53">
        <f t="shared" si="1"/>
        <v>877.03052130000015</v>
      </c>
      <c r="E10" s="53">
        <f t="shared" si="1"/>
        <v>974.47835700000019</v>
      </c>
      <c r="F10" s="53">
        <f t="shared" si="0"/>
        <v>1082.7537300000001</v>
      </c>
      <c r="G10" s="57">
        <f>1.137*1058.1</f>
        <v>1203.0597</v>
      </c>
      <c r="H10" s="55">
        <f>G10*1.07</f>
        <v>1287.2738790000001</v>
      </c>
      <c r="I10" s="55">
        <f>H10*1.07</f>
        <v>1377.3830505300002</v>
      </c>
      <c r="J10" s="55">
        <f>I10*1.07</f>
        <v>1473.7998640671003</v>
      </c>
      <c r="K10" s="58">
        <f>1.479*1058.1</f>
        <v>1564.9298999999999</v>
      </c>
    </row>
    <row r="11" spans="2:11" x14ac:dyDescent="0.2">
      <c r="B11" s="52">
        <v>8</v>
      </c>
      <c r="C11" s="59">
        <f>0.85*1058.1</f>
        <v>899.38499999999988</v>
      </c>
      <c r="D11" s="53">
        <f t="shared" si="1"/>
        <v>941.05297799999994</v>
      </c>
      <c r="E11" s="53">
        <f t="shared" si="1"/>
        <v>1045.6144199999999</v>
      </c>
      <c r="F11" s="53">
        <f t="shared" si="0"/>
        <v>1161.7937999999999</v>
      </c>
      <c r="G11" s="57">
        <f>1.22*1058.1</f>
        <v>1290.8819999999998</v>
      </c>
      <c r="H11" s="55">
        <f>G11*1.07</f>
        <v>1381.2437399999999</v>
      </c>
      <c r="I11" s="55">
        <f>H11*1.05</f>
        <v>1450.3059269999999</v>
      </c>
      <c r="J11" s="55">
        <f>I11*1.05</f>
        <v>1522.8212233499999</v>
      </c>
      <c r="K11" s="58">
        <f>1.579*1058.1</f>
        <v>1670.7398999999998</v>
      </c>
    </row>
    <row r="12" spans="2:11" x14ac:dyDescent="0.2">
      <c r="B12" s="52">
        <v>9</v>
      </c>
      <c r="C12" s="59">
        <f>1.017*1058.1</f>
        <v>1076.0876999999998</v>
      </c>
      <c r="D12" s="53">
        <f t="shared" si="1"/>
        <v>1120.7786697000001</v>
      </c>
      <c r="E12" s="53">
        <f t="shared" si="1"/>
        <v>1245.3096330000001</v>
      </c>
      <c r="F12" s="53">
        <f t="shared" si="0"/>
        <v>1383.6773700000001</v>
      </c>
      <c r="G12" s="57">
        <f>1.453*1058.1</f>
        <v>1537.4193</v>
      </c>
      <c r="H12" s="53">
        <f t="shared" ref="H12:H20" si="2">G12*1.1</f>
        <v>1691.1612300000002</v>
      </c>
      <c r="I12" s="55">
        <f>H12*1.05</f>
        <v>1775.7192915000003</v>
      </c>
      <c r="J12" s="55">
        <f>I12*1.05</f>
        <v>1864.5052560750003</v>
      </c>
      <c r="K12" s="58">
        <f>1.817*1058.1</f>
        <v>1922.5676999999998</v>
      </c>
    </row>
    <row r="13" spans="2:11" x14ac:dyDescent="0.2">
      <c r="B13" s="52">
        <v>10</v>
      </c>
      <c r="C13" s="59">
        <f>1.23*1058.1</f>
        <v>1301.463</v>
      </c>
      <c r="D13" s="53">
        <f t="shared" si="1"/>
        <v>1355.2705592999998</v>
      </c>
      <c r="E13" s="53">
        <f t="shared" si="1"/>
        <v>1505.8561769999999</v>
      </c>
      <c r="F13" s="53">
        <f t="shared" si="0"/>
        <v>1673.1735299999998</v>
      </c>
      <c r="G13" s="57">
        <f>1.757*1058.1</f>
        <v>1859.0816999999997</v>
      </c>
      <c r="H13" s="53">
        <f t="shared" si="2"/>
        <v>2044.9898699999999</v>
      </c>
      <c r="I13" s="55">
        <f>H13*1.04</f>
        <v>2126.7894648000001</v>
      </c>
      <c r="J13" s="55">
        <f>I13*1.05</f>
        <v>2233.1289380400003</v>
      </c>
      <c r="K13" s="58">
        <f>2.197*1058.1</f>
        <v>2324.6457</v>
      </c>
    </row>
    <row r="14" spans="2:11" x14ac:dyDescent="0.2">
      <c r="B14" s="52">
        <v>11</v>
      </c>
      <c r="C14" s="59">
        <f>1.535*1058.1</f>
        <v>1624.1834999999999</v>
      </c>
      <c r="D14" s="53">
        <f t="shared" si="1"/>
        <v>1692.3526506000001</v>
      </c>
      <c r="E14" s="53">
        <f t="shared" si="1"/>
        <v>1880.391834</v>
      </c>
      <c r="F14" s="53">
        <f t="shared" si="0"/>
        <v>2089.3242599999999</v>
      </c>
      <c r="G14" s="57">
        <f>2.194*1058.1</f>
        <v>2321.4713999999999</v>
      </c>
      <c r="H14" s="53">
        <f t="shared" si="2"/>
        <v>2553.6185399999999</v>
      </c>
      <c r="I14" s="55">
        <f t="shared" ref="I14:I19" si="3">H14*1.03</f>
        <v>2630.2270961999998</v>
      </c>
      <c r="J14" s="55">
        <f>I14*1.05</f>
        <v>2761.7384510100001</v>
      </c>
      <c r="K14" s="58">
        <f>2.743*1058.1</f>
        <v>2902.3682999999996</v>
      </c>
    </row>
    <row r="15" spans="2:11" x14ac:dyDescent="0.2">
      <c r="B15" s="52">
        <v>12</v>
      </c>
      <c r="C15" s="59">
        <f>1.911*1058.1</f>
        <v>2022.0291</v>
      </c>
      <c r="D15" s="53">
        <f t="shared" si="1"/>
        <v>2105.7988770000002</v>
      </c>
      <c r="E15" s="53">
        <f t="shared" si="1"/>
        <v>2339.7765300000001</v>
      </c>
      <c r="F15" s="53">
        <f t="shared" si="0"/>
        <v>2599.7516999999998</v>
      </c>
      <c r="G15" s="57">
        <f>2.73*1058.1</f>
        <v>2888.6129999999998</v>
      </c>
      <c r="H15" s="53">
        <f t="shared" si="2"/>
        <v>3177.4742999999999</v>
      </c>
      <c r="I15" s="55">
        <f t="shared" si="3"/>
        <v>3272.7985290000001</v>
      </c>
      <c r="J15" s="55">
        <f>I15*1.03</f>
        <v>3370.9824848700005</v>
      </c>
      <c r="K15" s="58">
        <f>3.276*1058.1</f>
        <v>3466.3355999999994</v>
      </c>
    </row>
    <row r="16" spans="2:11" x14ac:dyDescent="0.2">
      <c r="B16" s="52">
        <v>13</v>
      </c>
      <c r="C16" s="59">
        <f>2.369*1058.1</f>
        <v>2506.6388999999999</v>
      </c>
      <c r="D16" s="53">
        <f t="shared" si="1"/>
        <v>2611.0363364999994</v>
      </c>
      <c r="E16" s="53">
        <f t="shared" si="1"/>
        <v>2901.1514849999994</v>
      </c>
      <c r="F16" s="53">
        <f t="shared" si="0"/>
        <v>3223.5016499999992</v>
      </c>
      <c r="G16" s="57">
        <f>3.385*1058.1</f>
        <v>3581.6684999999993</v>
      </c>
      <c r="H16" s="53">
        <f t="shared" si="2"/>
        <v>3939.8353499999994</v>
      </c>
      <c r="I16" s="55">
        <f t="shared" si="3"/>
        <v>4058.0304104999996</v>
      </c>
      <c r="J16" s="55">
        <f>I16*1.03</f>
        <v>4179.7713228149996</v>
      </c>
      <c r="K16" s="58">
        <f>4.062*1058.1</f>
        <v>4298.0021999999999</v>
      </c>
    </row>
    <row r="17" spans="2:11" x14ac:dyDescent="0.2">
      <c r="B17" s="52">
        <v>14</v>
      </c>
      <c r="C17" s="59">
        <f>2.836*1058.1</f>
        <v>3000.7715999999996</v>
      </c>
      <c r="D17" s="53">
        <f t="shared" si="1"/>
        <v>3123.987345</v>
      </c>
      <c r="E17" s="53">
        <f t="shared" si="1"/>
        <v>3471.0970499999999</v>
      </c>
      <c r="F17" s="53">
        <f t="shared" si="0"/>
        <v>3856.7744999999995</v>
      </c>
      <c r="G17" s="57">
        <f>4.05*1058.1</f>
        <v>4285.3049999999994</v>
      </c>
      <c r="H17" s="53">
        <f t="shared" si="2"/>
        <v>4713.8355000000001</v>
      </c>
      <c r="I17" s="55">
        <f t="shared" si="3"/>
        <v>4855.2505650000003</v>
      </c>
      <c r="J17" s="55">
        <f>I17*1.03</f>
        <v>5000.9080819500005</v>
      </c>
      <c r="K17" s="58">
        <f>4.86*1058.1</f>
        <v>5142.366</v>
      </c>
    </row>
    <row r="18" spans="2:11" x14ac:dyDescent="0.2">
      <c r="B18" s="52">
        <v>15</v>
      </c>
      <c r="C18" s="59">
        <f>3.194*1058.1</f>
        <v>3379.5713999999998</v>
      </c>
      <c r="D18" s="53">
        <f t="shared" si="1"/>
        <v>3518.9210538000002</v>
      </c>
      <c r="E18" s="53">
        <f t="shared" si="1"/>
        <v>3909.9122820000002</v>
      </c>
      <c r="F18" s="53">
        <f t="shared" si="0"/>
        <v>4344.3469800000003</v>
      </c>
      <c r="G18" s="57">
        <f>4.562*1058.1</f>
        <v>4827.0522000000001</v>
      </c>
      <c r="H18" s="53">
        <f t="shared" si="2"/>
        <v>5309.7574200000008</v>
      </c>
      <c r="I18" s="55">
        <f t="shared" si="3"/>
        <v>5469.050142600001</v>
      </c>
      <c r="J18" s="55">
        <f>I18*1.03</f>
        <v>5633.1216468780012</v>
      </c>
      <c r="K18" s="58">
        <f>5.475*1058.1</f>
        <v>5793.0974999999989</v>
      </c>
    </row>
    <row r="19" spans="2:11" x14ac:dyDescent="0.2">
      <c r="B19" s="52">
        <v>16</v>
      </c>
      <c r="C19" s="59">
        <f>3.355*1058.1</f>
        <v>3549.9254999999998</v>
      </c>
      <c r="D19" s="53">
        <f t="shared" si="1"/>
        <v>3697.1040357000002</v>
      </c>
      <c r="E19" s="53">
        <f t="shared" si="1"/>
        <v>4107.8933729999999</v>
      </c>
      <c r="F19" s="53">
        <f t="shared" si="0"/>
        <v>4564.3259699999999</v>
      </c>
      <c r="G19" s="57">
        <f>4.793*1058.1</f>
        <v>5071.4732999999997</v>
      </c>
      <c r="H19" s="53">
        <f t="shared" si="2"/>
        <v>5578.6206300000003</v>
      </c>
      <c r="I19" s="55">
        <f t="shared" si="3"/>
        <v>5745.9792489000001</v>
      </c>
      <c r="J19" s="55">
        <f>I19*1.03</f>
        <v>5918.3586263670004</v>
      </c>
      <c r="K19" s="58">
        <f>5.751*1058.1</f>
        <v>6085.1331</v>
      </c>
    </row>
    <row r="20" spans="2:11" x14ac:dyDescent="0.2">
      <c r="B20" s="52">
        <v>17</v>
      </c>
      <c r="C20" s="59">
        <f>3.684*1058.1</f>
        <v>3898.0403999999999</v>
      </c>
      <c r="D20" s="53">
        <f t="shared" si="0"/>
        <v>4059.6408386999997</v>
      </c>
      <c r="E20" s="53">
        <f t="shared" si="0"/>
        <v>4510.7120429999995</v>
      </c>
      <c r="F20" s="53">
        <f t="shared" si="0"/>
        <v>5011.9022699999996</v>
      </c>
      <c r="G20" s="57">
        <f>5.263*1058.1</f>
        <v>5568.7802999999994</v>
      </c>
      <c r="H20" s="53">
        <f t="shared" si="2"/>
        <v>6125.6583300000002</v>
      </c>
      <c r="I20" s="55">
        <f>H20*1.025</f>
        <v>6278.7997882499994</v>
      </c>
      <c r="J20" s="55">
        <f>I20*1.015</f>
        <v>6372.9817850737491</v>
      </c>
      <c r="K20" s="58">
        <f>6.051*1058.1</f>
        <v>6402.5630999999994</v>
      </c>
    </row>
    <row r="21" spans="2:11" x14ac:dyDescent="0.2">
      <c r="B21" s="56"/>
      <c r="C21" t="s">
        <v>122</v>
      </c>
      <c r="H21" s="64"/>
      <c r="I21" s="64"/>
      <c r="J21" s="64"/>
      <c r="K21" s="6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BDF6E-5B41-8246-9AAE-76F48623C776}">
  <dimension ref="B2:M21"/>
  <sheetViews>
    <sheetView zoomScale="130" zoomScaleNormal="130" workbookViewId="0">
      <selection activeCell="K22" sqref="K22"/>
    </sheetView>
  </sheetViews>
  <sheetFormatPr baseColWidth="10" defaultRowHeight="15" x14ac:dyDescent="0.2"/>
  <cols>
    <col min="1" max="1" width="5.5" customWidth="1"/>
    <col min="2" max="2" width="14.1640625" customWidth="1"/>
  </cols>
  <sheetData>
    <row r="2" spans="2:13" x14ac:dyDescent="0.2">
      <c r="B2" s="54" t="s">
        <v>120</v>
      </c>
      <c r="C2" s="54" t="s">
        <v>85</v>
      </c>
      <c r="D2" s="54" t="s">
        <v>86</v>
      </c>
      <c r="E2" s="54" t="s">
        <v>87</v>
      </c>
      <c r="F2" s="54" t="s">
        <v>88</v>
      </c>
      <c r="G2" s="54" t="s">
        <v>89</v>
      </c>
      <c r="H2" s="54" t="s">
        <v>90</v>
      </c>
      <c r="I2" s="54" t="s">
        <v>91</v>
      </c>
      <c r="J2" s="54" t="s">
        <v>92</v>
      </c>
      <c r="K2" s="54" t="s">
        <v>93</v>
      </c>
      <c r="L2" s="54" t="s">
        <v>94</v>
      </c>
      <c r="M2" s="54" t="s">
        <v>95</v>
      </c>
    </row>
    <row r="3" spans="2:13" x14ac:dyDescent="0.2">
      <c r="B3" s="8" t="s">
        <v>80</v>
      </c>
      <c r="C3" s="51" t="s">
        <v>118</v>
      </c>
      <c r="D3" s="51"/>
      <c r="E3" s="51"/>
      <c r="F3" s="51"/>
      <c r="G3" s="51"/>
      <c r="H3" s="51" t="s">
        <v>117</v>
      </c>
      <c r="I3" s="30"/>
      <c r="J3" s="30"/>
      <c r="K3" s="30"/>
      <c r="L3" s="30"/>
      <c r="M3" s="51" t="s">
        <v>119</v>
      </c>
    </row>
    <row r="4" spans="2:13" x14ac:dyDescent="0.2">
      <c r="B4" s="52" t="s">
        <v>85</v>
      </c>
      <c r="C4" s="55">
        <f t="shared" ref="C4:E5" si="0">0.513*1058.1</f>
        <v>542.80529999999999</v>
      </c>
      <c r="D4" s="55">
        <f t="shared" si="0"/>
        <v>542.80529999999999</v>
      </c>
      <c r="E4" s="55">
        <f t="shared" si="0"/>
        <v>542.80529999999999</v>
      </c>
      <c r="F4" s="53">
        <f t="shared" ref="F4" si="1">G4*0.95</f>
        <v>554.81738024999993</v>
      </c>
      <c r="G4" s="53">
        <f>H4*0.95</f>
        <v>584.01829499999997</v>
      </c>
      <c r="H4" s="53">
        <f>0.581*1058.1</f>
        <v>614.75609999999995</v>
      </c>
      <c r="I4" s="53">
        <f>H4*1.05</f>
        <v>645.49390499999993</v>
      </c>
      <c r="J4" s="53">
        <f>I4*1.05</f>
        <v>677.76860024999996</v>
      </c>
      <c r="K4" s="53">
        <f t="shared" ref="K4:L4" si="2">J4*1.05</f>
        <v>711.65703026250003</v>
      </c>
      <c r="L4" s="53">
        <f t="shared" si="2"/>
        <v>747.23988177562501</v>
      </c>
      <c r="M4" s="53">
        <f>0.755*1058.1</f>
        <v>798.86549999999988</v>
      </c>
    </row>
    <row r="5" spans="2:13" x14ac:dyDescent="0.2">
      <c r="B5" s="52" t="s">
        <v>86</v>
      </c>
      <c r="C5" s="55">
        <f t="shared" si="0"/>
        <v>542.80529999999999</v>
      </c>
      <c r="D5" s="55">
        <f t="shared" si="0"/>
        <v>542.80529999999999</v>
      </c>
      <c r="E5" s="55">
        <f t="shared" si="0"/>
        <v>542.80529999999999</v>
      </c>
      <c r="F5" s="53">
        <f t="shared" ref="F5" si="3">G5*0.95</f>
        <v>565.32166799999993</v>
      </c>
      <c r="G5" s="53">
        <f t="shared" ref="G5:G20" si="4">H5*0.95</f>
        <v>595.07543999999996</v>
      </c>
      <c r="H5" s="53">
        <f>0.592*1058.1</f>
        <v>626.39519999999993</v>
      </c>
      <c r="I5" s="53">
        <f t="shared" ref="I5:L20" si="5">H5*1.05</f>
        <v>657.71495999999991</v>
      </c>
      <c r="J5" s="53">
        <f t="shared" si="5"/>
        <v>690.60070799999994</v>
      </c>
      <c r="K5" s="53">
        <f t="shared" si="5"/>
        <v>725.13074339999991</v>
      </c>
      <c r="L5" s="53">
        <f t="shared" si="5"/>
        <v>761.38728056999992</v>
      </c>
      <c r="M5" s="53">
        <f>0.769*1058.1</f>
        <v>813.6789</v>
      </c>
    </row>
    <row r="6" spans="2:13" x14ac:dyDescent="0.2">
      <c r="B6" s="52" t="s">
        <v>87</v>
      </c>
      <c r="C6" s="53">
        <f>0.57*1058.1</f>
        <v>603.11699999999985</v>
      </c>
      <c r="D6" s="53">
        <f t="shared" ref="D6" si="6">E6*0.95</f>
        <v>701.52885738374982</v>
      </c>
      <c r="E6" s="53">
        <f t="shared" ref="E6" si="7">F6*0.95</f>
        <v>738.45142882499988</v>
      </c>
      <c r="F6" s="53">
        <f t="shared" ref="F6" si="8">G6*0.95</f>
        <v>777.31729349999989</v>
      </c>
      <c r="G6" s="53">
        <f t="shared" si="4"/>
        <v>818.22872999999993</v>
      </c>
      <c r="H6" s="53">
        <f>0.814*1058.1</f>
        <v>861.29339999999991</v>
      </c>
      <c r="I6" s="53">
        <f t="shared" si="5"/>
        <v>904.35806999999988</v>
      </c>
      <c r="J6" s="53">
        <f t="shared" si="5"/>
        <v>949.57597349999992</v>
      </c>
      <c r="K6" s="53">
        <f t="shared" si="5"/>
        <v>997.05477217499993</v>
      </c>
      <c r="L6" s="53">
        <f t="shared" si="5"/>
        <v>1046.90751078375</v>
      </c>
      <c r="M6" s="53">
        <f>1.059*1058.1</f>
        <v>1120.5278999999998</v>
      </c>
    </row>
    <row r="7" spans="2:13" x14ac:dyDescent="0.2">
      <c r="B7" s="52" t="s">
        <v>88</v>
      </c>
      <c r="C7" s="53">
        <f>0.582*1058.1</f>
        <v>615.81419999999991</v>
      </c>
      <c r="D7" s="53">
        <f t="shared" ref="D7" si="9">E7*0.95</f>
        <v>717.04178051999986</v>
      </c>
      <c r="E7" s="53">
        <f t="shared" ref="E7" si="10">F7*0.95</f>
        <v>754.78082159999985</v>
      </c>
      <c r="F7" s="53">
        <f t="shared" ref="F7" si="11">G7*0.95</f>
        <v>794.50612799999988</v>
      </c>
      <c r="G7" s="53">
        <f t="shared" si="4"/>
        <v>836.32223999999985</v>
      </c>
      <c r="H7" s="53">
        <f>0.832*1058.1</f>
        <v>880.33919999999989</v>
      </c>
      <c r="I7" s="53">
        <f t="shared" si="5"/>
        <v>924.35615999999993</v>
      </c>
      <c r="J7" s="53">
        <f t="shared" si="5"/>
        <v>970.57396799999992</v>
      </c>
      <c r="K7" s="53">
        <f t="shared" si="5"/>
        <v>1019.1026664</v>
      </c>
      <c r="L7" s="53">
        <f t="shared" si="5"/>
        <v>1070.05779972</v>
      </c>
      <c r="M7" s="53">
        <f>1.08*1058.1</f>
        <v>1142.748</v>
      </c>
    </row>
    <row r="8" spans="2:13" x14ac:dyDescent="0.2">
      <c r="B8" s="52" t="s">
        <v>89</v>
      </c>
      <c r="C8" s="53">
        <f>0.623*1058.1</f>
        <v>659.19629999999995</v>
      </c>
      <c r="D8" s="53">
        <f t="shared" ref="D8" si="12">E8*0.95</f>
        <v>767.02786618124981</v>
      </c>
      <c r="E8" s="53">
        <f t="shared" ref="E8" si="13">F8*0.95</f>
        <v>807.39775387499981</v>
      </c>
      <c r="F8" s="53">
        <f t="shared" ref="F8" si="14">G8*0.95</f>
        <v>849.89237249999985</v>
      </c>
      <c r="G8" s="53">
        <f t="shared" si="4"/>
        <v>894.62354999999991</v>
      </c>
      <c r="H8" s="53">
        <f>0.89*1058.1</f>
        <v>941.70899999999995</v>
      </c>
      <c r="I8" s="53">
        <f t="shared" si="5"/>
        <v>988.79444999999998</v>
      </c>
      <c r="J8" s="53">
        <f t="shared" si="5"/>
        <v>1038.2341725000001</v>
      </c>
      <c r="K8" s="53">
        <f t="shared" si="5"/>
        <v>1090.1458811250002</v>
      </c>
      <c r="L8" s="53">
        <f t="shared" si="5"/>
        <v>1144.6531751812502</v>
      </c>
      <c r="M8" s="53">
        <f>1.156*1058.1</f>
        <v>1223.1635999999999</v>
      </c>
    </row>
    <row r="9" spans="2:13" x14ac:dyDescent="0.2">
      <c r="B9" s="52" t="s">
        <v>90</v>
      </c>
      <c r="C9" s="53">
        <f>0.666*1058.1</f>
        <v>704.69459999999992</v>
      </c>
      <c r="D9" s="53">
        <f t="shared" ref="D9" si="15">E9*0.95</f>
        <v>818.73760996874967</v>
      </c>
      <c r="E9" s="53">
        <f t="shared" ref="E9" si="16">F9*0.95</f>
        <v>861.82906312499972</v>
      </c>
      <c r="F9" s="53">
        <f t="shared" ref="F9" si="17">G9*0.95</f>
        <v>907.18848749999972</v>
      </c>
      <c r="G9" s="53">
        <f t="shared" si="4"/>
        <v>954.93524999999977</v>
      </c>
      <c r="H9" s="53">
        <f>0.95*1058.1</f>
        <v>1005.1949999999998</v>
      </c>
      <c r="I9" s="53">
        <f t="shared" si="5"/>
        <v>1055.4547499999999</v>
      </c>
      <c r="J9" s="53">
        <f t="shared" si="5"/>
        <v>1108.2274874999998</v>
      </c>
      <c r="K9" s="53">
        <f t="shared" si="5"/>
        <v>1163.638861875</v>
      </c>
      <c r="L9" s="53">
        <f t="shared" si="5"/>
        <v>1221.8208049687501</v>
      </c>
      <c r="M9" s="53">
        <f>1.236*1058.1</f>
        <v>1307.8115999999998</v>
      </c>
    </row>
    <row r="10" spans="2:13" x14ac:dyDescent="0.2">
      <c r="B10" s="52" t="s">
        <v>91</v>
      </c>
      <c r="C10" s="53">
        <f>0.796*1058.1</f>
        <v>842.24759999999992</v>
      </c>
      <c r="D10" s="53">
        <f t="shared" ref="D10" si="18">E10*0.95</f>
        <v>979.89964477312492</v>
      </c>
      <c r="E10" s="53">
        <f t="shared" ref="E10" si="19">F10*0.95</f>
        <v>1031.4733102875</v>
      </c>
      <c r="F10" s="53">
        <f t="shared" ref="F10" si="20">G10*0.95</f>
        <v>1085.7613792500001</v>
      </c>
      <c r="G10" s="53">
        <f t="shared" si="4"/>
        <v>1142.9067150000001</v>
      </c>
      <c r="H10" s="53">
        <f>1.137*1058.1</f>
        <v>1203.0597</v>
      </c>
      <c r="I10" s="53">
        <f t="shared" si="5"/>
        <v>1263.212685</v>
      </c>
      <c r="J10" s="53">
        <f t="shared" si="5"/>
        <v>1326.3733192500001</v>
      </c>
      <c r="K10" s="53">
        <f t="shared" si="5"/>
        <v>1392.6919852125002</v>
      </c>
      <c r="L10" s="53">
        <f t="shared" si="5"/>
        <v>1462.3265844731252</v>
      </c>
      <c r="M10" s="53">
        <f>1.479*1058.1</f>
        <v>1564.9298999999999</v>
      </c>
    </row>
    <row r="11" spans="2:13" x14ac:dyDescent="0.2">
      <c r="B11" s="52" t="s">
        <v>92</v>
      </c>
      <c r="C11" s="53">
        <f>0.85*1058.1</f>
        <v>899.38499999999988</v>
      </c>
      <c r="D11" s="53">
        <f t="shared" ref="D11" si="21">E11*0.95</f>
        <v>1051.4314570124998</v>
      </c>
      <c r="E11" s="53">
        <f t="shared" ref="E11" si="22">F11*0.95</f>
        <v>1106.7699547499999</v>
      </c>
      <c r="F11" s="53">
        <f t="shared" ref="F11" si="23">G11*0.95</f>
        <v>1165.0210049999998</v>
      </c>
      <c r="G11" s="53">
        <f t="shared" si="4"/>
        <v>1226.3378999999998</v>
      </c>
      <c r="H11" s="53">
        <f>1.22*1058.1</f>
        <v>1290.8819999999998</v>
      </c>
      <c r="I11" s="53">
        <f t="shared" si="5"/>
        <v>1355.4260999999999</v>
      </c>
      <c r="J11" s="53">
        <f t="shared" si="5"/>
        <v>1423.1974049999999</v>
      </c>
      <c r="K11" s="53">
        <f t="shared" si="5"/>
        <v>1494.3572752499999</v>
      </c>
      <c r="L11" s="53">
        <f t="shared" si="5"/>
        <v>1569.0751390124999</v>
      </c>
      <c r="M11" s="53">
        <f>1.579*1058.1</f>
        <v>1670.7398999999998</v>
      </c>
    </row>
    <row r="12" spans="2:13" x14ac:dyDescent="0.2">
      <c r="B12" s="52" t="s">
        <v>93</v>
      </c>
      <c r="C12" s="53">
        <f>1.017*1058.1</f>
        <v>1076.0876999999998</v>
      </c>
      <c r="D12" s="53">
        <f t="shared" ref="D12" si="24">E12*0.95</f>
        <v>1252.2376287206246</v>
      </c>
      <c r="E12" s="53">
        <f t="shared" ref="E12" si="25">F12*0.95</f>
        <v>1318.1448723374997</v>
      </c>
      <c r="F12" s="53">
        <f t="shared" ref="F12" si="26">G12*0.95</f>
        <v>1387.5209182499998</v>
      </c>
      <c r="G12" s="53">
        <f t="shared" si="4"/>
        <v>1460.548335</v>
      </c>
      <c r="H12" s="53">
        <f>1.453*1058.1</f>
        <v>1537.4193</v>
      </c>
      <c r="I12" s="53">
        <f t="shared" si="5"/>
        <v>1614.2902650000001</v>
      </c>
      <c r="J12" s="53">
        <f t="shared" si="5"/>
        <v>1695.0047782500001</v>
      </c>
      <c r="K12" s="53">
        <f t="shared" si="5"/>
        <v>1779.7550171625001</v>
      </c>
      <c r="L12" s="53">
        <f t="shared" si="5"/>
        <v>1868.7427680206251</v>
      </c>
      <c r="M12" s="53">
        <f>1.817*1058.1</f>
        <v>1922.5676999999998</v>
      </c>
    </row>
    <row r="13" spans="2:13" x14ac:dyDescent="0.2">
      <c r="B13" s="52" t="s">
        <v>94</v>
      </c>
      <c r="C13" s="53">
        <f>1.23*1058.1</f>
        <v>1301.463</v>
      </c>
      <c r="D13" s="53">
        <f t="shared" ref="D13" si="27">E13*0.95</f>
        <v>1514.2336639106245</v>
      </c>
      <c r="E13" s="53">
        <f t="shared" ref="E13" si="28">F13*0.95</f>
        <v>1593.9301725374996</v>
      </c>
      <c r="F13" s="53">
        <f t="shared" ref="F13" si="29">G13*0.95</f>
        <v>1677.8212342499996</v>
      </c>
      <c r="G13" s="53">
        <f t="shared" si="4"/>
        <v>1766.1276149999997</v>
      </c>
      <c r="H13" s="53">
        <f>1.757*1058.1</f>
        <v>1859.0816999999997</v>
      </c>
      <c r="I13" s="53">
        <f t="shared" si="5"/>
        <v>1952.0357849999998</v>
      </c>
      <c r="J13" s="53">
        <f t="shared" si="5"/>
        <v>2049.6375742499999</v>
      </c>
      <c r="K13" s="53">
        <f t="shared" si="5"/>
        <v>2152.1194529625</v>
      </c>
      <c r="L13" s="53">
        <f t="shared" si="5"/>
        <v>2259.7254256106253</v>
      </c>
      <c r="M13" s="53">
        <f>2.197*1058.1</f>
        <v>2324.6457</v>
      </c>
    </row>
    <row r="14" spans="2:13" x14ac:dyDescent="0.2">
      <c r="B14" s="52" t="s">
        <v>95</v>
      </c>
      <c r="C14" s="53">
        <f>1.535*1058.1</f>
        <v>1624.1834999999999</v>
      </c>
      <c r="D14" s="53">
        <f t="shared" ref="D14" si="30">E14*0.95</f>
        <v>1890.8529644962498</v>
      </c>
      <c r="E14" s="53">
        <f t="shared" ref="E14" si="31">F14*0.95</f>
        <v>1990.3715415749998</v>
      </c>
      <c r="F14" s="53">
        <f t="shared" ref="F14" si="32">G14*0.95</f>
        <v>2095.1279384999998</v>
      </c>
      <c r="G14" s="53">
        <f t="shared" si="4"/>
        <v>2205.3978299999999</v>
      </c>
      <c r="H14" s="53">
        <f>2.194*1058.1</f>
        <v>2321.4713999999999</v>
      </c>
      <c r="I14" s="53">
        <f t="shared" si="5"/>
        <v>2437.5449699999999</v>
      </c>
      <c r="J14" s="53">
        <f t="shared" si="5"/>
        <v>2559.4222184999999</v>
      </c>
      <c r="K14" s="53">
        <f t="shared" si="5"/>
        <v>2687.393329425</v>
      </c>
      <c r="L14" s="53">
        <f t="shared" si="5"/>
        <v>2821.7629958962502</v>
      </c>
      <c r="M14" s="53">
        <f>2.743*1058.1</f>
        <v>2902.3682999999996</v>
      </c>
    </row>
    <row r="15" spans="2:13" x14ac:dyDescent="0.2">
      <c r="B15" s="52" t="s">
        <v>96</v>
      </c>
      <c r="C15" s="53">
        <f>1.911*1058.1</f>
        <v>2022.0291</v>
      </c>
      <c r="D15" s="53">
        <f t="shared" ref="D15" si="33">E15*0.95</f>
        <v>2352.7933423312493</v>
      </c>
      <c r="E15" s="53">
        <f t="shared" ref="E15" si="34">F15*0.95</f>
        <v>2476.6245708749993</v>
      </c>
      <c r="F15" s="53">
        <f t="shared" ref="F15" si="35">G15*0.95</f>
        <v>2606.9732324999995</v>
      </c>
      <c r="G15" s="53">
        <f t="shared" si="4"/>
        <v>2744.1823499999996</v>
      </c>
      <c r="H15" s="53">
        <f>2.73*1058.1</f>
        <v>2888.6129999999998</v>
      </c>
      <c r="I15" s="53">
        <f t="shared" si="5"/>
        <v>3033.0436500000001</v>
      </c>
      <c r="J15" s="53">
        <f t="shared" si="5"/>
        <v>3184.6958325000001</v>
      </c>
      <c r="K15" s="55">
        <f>J15*1.02</f>
        <v>3248.3897491500002</v>
      </c>
      <c r="L15" s="55">
        <f>K15*1.02</f>
        <v>3313.3575441330004</v>
      </c>
      <c r="M15" s="53">
        <f>3.276*1058.1</f>
        <v>3466.3355999999994</v>
      </c>
    </row>
    <row r="16" spans="2:13" x14ac:dyDescent="0.2">
      <c r="B16" s="52" t="s">
        <v>97</v>
      </c>
      <c r="C16" s="53">
        <f>2.369*1058.1</f>
        <v>2506.6388999999999</v>
      </c>
      <c r="D16" s="53">
        <f t="shared" ref="D16" si="36">E16*0.95</f>
        <v>2917.2913786781232</v>
      </c>
      <c r="E16" s="53">
        <f t="shared" ref="E16" si="37">F16*0.95</f>
        <v>3070.8330301874985</v>
      </c>
      <c r="F16" s="53">
        <f t="shared" ref="F16" si="38">G16*0.95</f>
        <v>3232.4558212499987</v>
      </c>
      <c r="G16" s="53">
        <f t="shared" si="4"/>
        <v>3402.5850749999991</v>
      </c>
      <c r="H16" s="53">
        <f>3.385*1058.1</f>
        <v>3581.6684999999993</v>
      </c>
      <c r="I16" s="53">
        <f t="shared" si="5"/>
        <v>3760.7519249999996</v>
      </c>
      <c r="J16" s="53">
        <f t="shared" si="5"/>
        <v>3948.7895212499998</v>
      </c>
      <c r="K16" s="55">
        <f>J16*1.02</f>
        <v>4027.7653116749998</v>
      </c>
      <c r="L16" s="55">
        <f>K16*1.02</f>
        <v>4108.3206179085</v>
      </c>
      <c r="M16" s="53">
        <f>4.062*1058.1</f>
        <v>4298.0021999999999</v>
      </c>
    </row>
    <row r="17" spans="2:13" x14ac:dyDescent="0.2">
      <c r="B17" s="52" t="s">
        <v>98</v>
      </c>
      <c r="C17" s="53">
        <f>2.836*1058.1</f>
        <v>3000.7715999999996</v>
      </c>
      <c r="D17" s="53">
        <f t="shared" ref="D17" si="39">E17*0.95</f>
        <v>3490.4077056562487</v>
      </c>
      <c r="E17" s="53">
        <f t="shared" ref="E17" si="40">F17*0.95</f>
        <v>3674.1133743749988</v>
      </c>
      <c r="F17" s="53">
        <f t="shared" ref="F17" si="41">G17*0.95</f>
        <v>3867.487762499999</v>
      </c>
      <c r="G17" s="53">
        <f t="shared" si="4"/>
        <v>4071.039749999999</v>
      </c>
      <c r="H17" s="53">
        <f>4.05*1058.1</f>
        <v>4285.3049999999994</v>
      </c>
      <c r="I17" s="53">
        <f t="shared" si="5"/>
        <v>4499.5702499999998</v>
      </c>
      <c r="J17" s="55">
        <f>I17*1.02</f>
        <v>4589.5616549999995</v>
      </c>
      <c r="K17" s="53">
        <f t="shared" si="5"/>
        <v>4819.0397377499994</v>
      </c>
      <c r="L17" s="53">
        <f>K17*1.02</f>
        <v>4915.4205325049998</v>
      </c>
      <c r="M17" s="53">
        <f>4.86*1058.1</f>
        <v>5142.366</v>
      </c>
    </row>
    <row r="18" spans="2:13" x14ac:dyDescent="0.2">
      <c r="B18" s="52" t="s">
        <v>99</v>
      </c>
      <c r="C18" s="53">
        <f>3.194*1058.1</f>
        <v>3379.5713999999998</v>
      </c>
      <c r="D18" s="53">
        <f t="shared" ref="D18" si="42">E18*0.95</f>
        <v>3931.6641859762499</v>
      </c>
      <c r="E18" s="53">
        <f t="shared" ref="E18" si="43">F18*0.95</f>
        <v>4138.5938799750002</v>
      </c>
      <c r="F18" s="53">
        <f t="shared" ref="F18" si="44">G18*0.95</f>
        <v>4356.4146105</v>
      </c>
      <c r="G18" s="53">
        <f t="shared" si="4"/>
        <v>4585.6995900000002</v>
      </c>
      <c r="H18" s="53">
        <f>4.562*1058.1</f>
        <v>4827.0522000000001</v>
      </c>
      <c r="I18" s="53">
        <f t="shared" si="5"/>
        <v>5068.40481</v>
      </c>
      <c r="J18" s="55">
        <f>I18*1.02</f>
        <v>5169.7729061999999</v>
      </c>
      <c r="K18" s="55">
        <f t="shared" si="5"/>
        <v>5428.2615515099997</v>
      </c>
      <c r="L18" s="55">
        <f>K18*1.02</f>
        <v>5536.8267825401999</v>
      </c>
      <c r="M18" s="53">
        <f>5.475*1058.1</f>
        <v>5793.0974999999989</v>
      </c>
    </row>
    <row r="19" spans="2:13" x14ac:dyDescent="0.2">
      <c r="B19" s="52" t="s">
        <v>100</v>
      </c>
      <c r="C19" s="53">
        <f>3.355*1058.1</f>
        <v>3549.9254999999998</v>
      </c>
      <c r="D19" s="53">
        <f t="shared" ref="D19:D20" si="45">E19*0.95</f>
        <v>4130.7466995581235</v>
      </c>
      <c r="E19" s="53">
        <f t="shared" ref="E19" si="46">F19*0.95</f>
        <v>4348.1544205874989</v>
      </c>
      <c r="F19" s="53">
        <f t="shared" ref="F19" si="47">G19*0.95</f>
        <v>4577.0046532499991</v>
      </c>
      <c r="G19" s="53">
        <f t="shared" si="4"/>
        <v>4817.8996349999998</v>
      </c>
      <c r="H19" s="53">
        <f>4.793*1058.1</f>
        <v>5071.4732999999997</v>
      </c>
      <c r="I19" s="53">
        <f t="shared" si="5"/>
        <v>5325.0469649999995</v>
      </c>
      <c r="J19" s="53">
        <f t="shared" si="5"/>
        <v>5591.2993132499996</v>
      </c>
      <c r="K19" s="55">
        <f>J19*1.02</f>
        <v>5703.1252995149998</v>
      </c>
      <c r="L19" s="53">
        <f t="shared" si="5"/>
        <v>5988.2815644907505</v>
      </c>
      <c r="M19" s="53">
        <f>5.751*1058.1</f>
        <v>6085.1331</v>
      </c>
    </row>
    <row r="20" spans="2:13" x14ac:dyDescent="0.2">
      <c r="B20" s="52" t="s">
        <v>104</v>
      </c>
      <c r="C20" s="53">
        <f>3.684*1058.1</f>
        <v>3898.0403999999999</v>
      </c>
      <c r="D20" s="53">
        <f t="shared" si="45"/>
        <v>4535.8063592268736</v>
      </c>
      <c r="E20" s="53">
        <f t="shared" ref="E20" si="48">F20*0.95</f>
        <v>4774.5330097124988</v>
      </c>
      <c r="F20" s="53">
        <f t="shared" ref="F20" si="49">G20*0.95</f>
        <v>5025.8242207499989</v>
      </c>
      <c r="G20" s="53">
        <f t="shared" si="4"/>
        <v>5290.3412849999995</v>
      </c>
      <c r="H20" s="53">
        <f>5.263*1058.1</f>
        <v>5568.7802999999994</v>
      </c>
      <c r="I20" s="53">
        <f t="shared" si="5"/>
        <v>5847.2193149999994</v>
      </c>
      <c r="J20" s="53">
        <f t="shared" si="5"/>
        <v>6139.5802807499995</v>
      </c>
      <c r="K20" s="55">
        <f>J20*1.02</f>
        <v>6262.3718863649992</v>
      </c>
      <c r="L20" s="55">
        <f>K20*1.02</f>
        <v>6387.6193240922994</v>
      </c>
      <c r="M20" s="53">
        <f>6.051*1058.1</f>
        <v>6402.5630999999994</v>
      </c>
    </row>
    <row r="21" spans="2:13" x14ac:dyDescent="0.2">
      <c r="B21" s="56"/>
      <c r="C21" t="s">
        <v>121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8B6C-99A4-4CD2-AE1D-E516558BC76C}">
  <dimension ref="C3:S28"/>
  <sheetViews>
    <sheetView zoomScale="160" zoomScaleNormal="160" workbookViewId="0">
      <selection activeCell="J4" sqref="J4"/>
    </sheetView>
  </sheetViews>
  <sheetFormatPr baseColWidth="10" defaultColWidth="8.83203125" defaultRowHeight="15" x14ac:dyDescent="0.2"/>
  <cols>
    <col min="2" max="2" width="0" hidden="1" customWidth="1"/>
    <col min="3" max="3" width="13.6640625" hidden="1" customWidth="1"/>
    <col min="4" max="4" width="13.1640625" hidden="1" customWidth="1"/>
    <col min="5" max="5" width="16" hidden="1" customWidth="1"/>
    <col min="6" max="6" width="18.6640625" hidden="1" customWidth="1"/>
    <col min="7" max="7" width="0" hidden="1" customWidth="1"/>
    <col min="8" max="8" width="11.6640625" customWidth="1"/>
    <col min="9" max="9" width="16.83203125" customWidth="1"/>
    <col min="10" max="10" width="14.33203125" customWidth="1"/>
    <col min="11" max="11" width="17.6640625" customWidth="1"/>
    <col min="15" max="20" width="0" hidden="1" customWidth="1"/>
  </cols>
  <sheetData>
    <row r="3" spans="3:19" ht="49.75" customHeight="1" x14ac:dyDescent="0.2">
      <c r="H3" s="86" t="s">
        <v>116</v>
      </c>
      <c r="I3" s="86"/>
      <c r="J3" s="86"/>
      <c r="K3" s="86"/>
    </row>
    <row r="4" spans="3:19" ht="16" thickBot="1" x14ac:dyDescent="0.25">
      <c r="J4" s="31" t="s">
        <v>107</v>
      </c>
    </row>
    <row r="5" spans="3:19" ht="76" thickBot="1" x14ac:dyDescent="0.25">
      <c r="C5" s="87" t="s">
        <v>80</v>
      </c>
      <c r="D5" s="90" t="s">
        <v>101</v>
      </c>
      <c r="E5" s="91"/>
      <c r="F5" s="92"/>
      <c r="G5" s="96"/>
      <c r="H5" s="97" t="s">
        <v>80</v>
      </c>
      <c r="I5" s="100" t="s">
        <v>101</v>
      </c>
      <c r="J5" s="101"/>
      <c r="K5" s="102"/>
      <c r="O5" s="39" t="s">
        <v>108</v>
      </c>
      <c r="P5" s="40" t="s">
        <v>109</v>
      </c>
      <c r="Q5" s="41" t="s">
        <v>110</v>
      </c>
      <c r="R5" s="41" t="s">
        <v>111</v>
      </c>
      <c r="S5" s="41" t="s">
        <v>112</v>
      </c>
    </row>
    <row r="6" spans="3:19" ht="18" thickBot="1" x14ac:dyDescent="0.25">
      <c r="C6" s="88"/>
      <c r="D6" s="93" t="s">
        <v>102</v>
      </c>
      <c r="E6" s="94"/>
      <c r="F6" s="95"/>
      <c r="G6" s="96"/>
      <c r="H6" s="98"/>
      <c r="I6" s="103" t="s">
        <v>115</v>
      </c>
      <c r="J6" s="104"/>
      <c r="K6" s="105"/>
      <c r="O6" s="42" t="s">
        <v>86</v>
      </c>
      <c r="P6" s="43" t="s">
        <v>85</v>
      </c>
      <c r="Q6" s="44">
        <v>543</v>
      </c>
      <c r="R6" s="44">
        <v>615</v>
      </c>
      <c r="S6" s="44">
        <v>799</v>
      </c>
    </row>
    <row r="7" spans="3:19" ht="18" thickBot="1" x14ac:dyDescent="0.25">
      <c r="C7" s="89"/>
      <c r="D7" s="37" t="s">
        <v>103</v>
      </c>
      <c r="E7" s="37" t="s">
        <v>83</v>
      </c>
      <c r="F7" s="37" t="s">
        <v>84</v>
      </c>
      <c r="G7" s="36"/>
      <c r="H7" s="99"/>
      <c r="I7" s="48" t="s">
        <v>105</v>
      </c>
      <c r="J7" s="48" t="s">
        <v>83</v>
      </c>
      <c r="K7" s="48" t="s">
        <v>84</v>
      </c>
      <c r="O7" s="45" t="s">
        <v>87</v>
      </c>
      <c r="P7" s="43" t="s">
        <v>86</v>
      </c>
      <c r="Q7" s="44">
        <v>543</v>
      </c>
      <c r="R7" s="44">
        <v>626</v>
      </c>
      <c r="S7" s="44">
        <v>814</v>
      </c>
    </row>
    <row r="8" spans="3:19" ht="18" thickBot="1" x14ac:dyDescent="0.25">
      <c r="C8" s="38" t="s">
        <v>85</v>
      </c>
      <c r="D8" s="37">
        <v>0.51300000000000001</v>
      </c>
      <c r="E8" s="37">
        <v>0.58099999999999996</v>
      </c>
      <c r="F8" s="37">
        <v>0.755</v>
      </c>
      <c r="G8" s="36"/>
      <c r="H8" s="49" t="s">
        <v>85</v>
      </c>
      <c r="I8" s="50">
        <f>0.513*1058.1</f>
        <v>542.80529999999999</v>
      </c>
      <c r="J8" s="50">
        <f>0.581*1058.1</f>
        <v>614.75609999999995</v>
      </c>
      <c r="K8" s="50">
        <f>0.755*1058.1</f>
        <v>798.86549999999988</v>
      </c>
      <c r="O8" s="45" t="s">
        <v>88</v>
      </c>
      <c r="P8" s="43" t="s">
        <v>87</v>
      </c>
      <c r="Q8" s="44">
        <v>603</v>
      </c>
      <c r="R8" s="44">
        <v>861</v>
      </c>
      <c r="S8" s="44">
        <v>1121</v>
      </c>
    </row>
    <row r="9" spans="3:19" ht="18" thickBot="1" x14ac:dyDescent="0.25">
      <c r="C9" s="38" t="s">
        <v>86</v>
      </c>
      <c r="D9" s="37">
        <v>0.51300000000000001</v>
      </c>
      <c r="E9" s="37">
        <v>0.59199999999999997</v>
      </c>
      <c r="F9" s="37">
        <v>0.76900000000000002</v>
      </c>
      <c r="G9" s="36"/>
      <c r="H9" s="49" t="s">
        <v>86</v>
      </c>
      <c r="I9" s="50">
        <f>0.513*1058.1</f>
        <v>542.80529999999999</v>
      </c>
      <c r="J9" s="50">
        <f>0.592*1058.1</f>
        <v>626.39519999999993</v>
      </c>
      <c r="K9" s="50">
        <f>0.769*1058.1</f>
        <v>813.6789</v>
      </c>
      <c r="O9" s="45" t="s">
        <v>89</v>
      </c>
      <c r="P9" s="43" t="s">
        <v>88</v>
      </c>
      <c r="Q9" s="44">
        <v>616</v>
      </c>
      <c r="R9" s="44">
        <v>880</v>
      </c>
      <c r="S9" s="44">
        <v>1143</v>
      </c>
    </row>
    <row r="10" spans="3:19" ht="18" thickBot="1" x14ac:dyDescent="0.25">
      <c r="C10" s="38" t="s">
        <v>87</v>
      </c>
      <c r="D10" s="37">
        <v>0.56999999999999995</v>
      </c>
      <c r="E10" s="37">
        <v>0.81399999999999995</v>
      </c>
      <c r="F10" s="37">
        <v>1.0589999999999999</v>
      </c>
      <c r="G10" s="36"/>
      <c r="H10" s="49" t="s">
        <v>87</v>
      </c>
      <c r="I10" s="50">
        <f>0.57*1058.1</f>
        <v>603.11699999999985</v>
      </c>
      <c r="J10" s="50">
        <f>0.814*1058.1</f>
        <v>861.29339999999991</v>
      </c>
      <c r="K10" s="50">
        <f>1.059*1058.1</f>
        <v>1120.5278999999998</v>
      </c>
      <c r="O10" s="45" t="s">
        <v>90</v>
      </c>
      <c r="P10" s="43" t="s">
        <v>89</v>
      </c>
      <c r="Q10" s="44">
        <v>659</v>
      </c>
      <c r="R10" s="44">
        <v>942</v>
      </c>
      <c r="S10" s="44">
        <v>1223</v>
      </c>
    </row>
    <row r="11" spans="3:19" ht="18" thickBot="1" x14ac:dyDescent="0.25">
      <c r="C11" s="38" t="s">
        <v>88</v>
      </c>
      <c r="D11" s="37">
        <v>0.58199999999999996</v>
      </c>
      <c r="E11" s="37">
        <v>0.83199999999999996</v>
      </c>
      <c r="F11" s="37">
        <v>1.08</v>
      </c>
      <c r="G11" s="36"/>
      <c r="H11" s="49" t="s">
        <v>88</v>
      </c>
      <c r="I11" s="50">
        <f>0.582*1058.1</f>
        <v>615.81419999999991</v>
      </c>
      <c r="J11" s="50">
        <f>0.832*1058.1</f>
        <v>880.33919999999989</v>
      </c>
      <c r="K11" s="50">
        <f>1.08*1058.1</f>
        <v>1142.748</v>
      </c>
      <c r="O11" s="45" t="s">
        <v>91</v>
      </c>
      <c r="P11" s="43" t="s">
        <v>90</v>
      </c>
      <c r="Q11" s="44">
        <v>705</v>
      </c>
      <c r="R11" s="44">
        <v>1005</v>
      </c>
      <c r="S11" s="44">
        <v>1308</v>
      </c>
    </row>
    <row r="12" spans="3:19" ht="18" thickBot="1" x14ac:dyDescent="0.25">
      <c r="C12" s="38" t="s">
        <v>89</v>
      </c>
      <c r="D12" s="37">
        <v>0.623</v>
      </c>
      <c r="E12" s="37">
        <v>0.89</v>
      </c>
      <c r="F12" s="37">
        <v>1.1559999999999999</v>
      </c>
      <c r="G12" s="36"/>
      <c r="H12" s="49" t="s">
        <v>89</v>
      </c>
      <c r="I12" s="50">
        <f>0.623*1058.1</f>
        <v>659.19629999999995</v>
      </c>
      <c r="J12" s="50">
        <f>0.89*1058.1</f>
        <v>941.70899999999995</v>
      </c>
      <c r="K12" s="50">
        <f>1.156*1058.1</f>
        <v>1223.1635999999999</v>
      </c>
      <c r="O12" s="45" t="s">
        <v>92</v>
      </c>
      <c r="P12" s="43" t="s">
        <v>91</v>
      </c>
      <c r="Q12" s="44">
        <v>842</v>
      </c>
      <c r="R12" s="44">
        <v>1203</v>
      </c>
      <c r="S12" s="44">
        <v>1565</v>
      </c>
    </row>
    <row r="13" spans="3:19" ht="18" thickBot="1" x14ac:dyDescent="0.25">
      <c r="C13" s="38" t="s">
        <v>90</v>
      </c>
      <c r="D13" s="37">
        <v>0.66600000000000004</v>
      </c>
      <c r="E13" s="37">
        <v>0.95</v>
      </c>
      <c r="F13" s="37">
        <v>1.236</v>
      </c>
      <c r="G13" s="36"/>
      <c r="H13" s="49" t="s">
        <v>90</v>
      </c>
      <c r="I13" s="50">
        <f>0.666*1058.1</f>
        <v>704.69459999999992</v>
      </c>
      <c r="J13" s="50">
        <f>0.95*1058.1</f>
        <v>1005.1949999999998</v>
      </c>
      <c r="K13" s="50">
        <f>1.236*1058.1</f>
        <v>1307.8115999999998</v>
      </c>
      <c r="O13" s="45" t="s">
        <v>93</v>
      </c>
      <c r="P13" s="43" t="s">
        <v>92</v>
      </c>
      <c r="Q13" s="44">
        <v>899</v>
      </c>
      <c r="R13" s="44">
        <v>1291</v>
      </c>
      <c r="S13" s="44">
        <v>1671</v>
      </c>
    </row>
    <row r="14" spans="3:19" ht="18" thickBot="1" x14ac:dyDescent="0.25">
      <c r="C14" s="38" t="s">
        <v>91</v>
      </c>
      <c r="D14" s="37">
        <v>0.79600000000000004</v>
      </c>
      <c r="E14" s="37">
        <v>1.137</v>
      </c>
      <c r="F14" s="37">
        <v>1.4790000000000001</v>
      </c>
      <c r="G14" s="36"/>
      <c r="H14" s="49" t="s">
        <v>91</v>
      </c>
      <c r="I14" s="50">
        <f>0.796*1058.1</f>
        <v>842.24759999999992</v>
      </c>
      <c r="J14" s="50">
        <f>1.137*1058.1</f>
        <v>1203.0597</v>
      </c>
      <c r="K14" s="50">
        <f>1.479*1058.1</f>
        <v>1564.9298999999999</v>
      </c>
      <c r="O14" s="45" t="s">
        <v>94</v>
      </c>
      <c r="P14" s="43" t="s">
        <v>93</v>
      </c>
      <c r="Q14" s="44">
        <v>1076</v>
      </c>
      <c r="R14" s="44">
        <v>1537</v>
      </c>
      <c r="S14" s="44">
        <v>1923</v>
      </c>
    </row>
    <row r="15" spans="3:19" ht="18" thickBot="1" x14ac:dyDescent="0.25">
      <c r="C15" s="38" t="s">
        <v>92</v>
      </c>
      <c r="D15" s="37">
        <v>0.85</v>
      </c>
      <c r="E15" s="37">
        <v>1.22</v>
      </c>
      <c r="F15" s="37">
        <v>1.579</v>
      </c>
      <c r="G15" s="36"/>
      <c r="H15" s="49" t="s">
        <v>92</v>
      </c>
      <c r="I15" s="50">
        <f>0.85*1058.1</f>
        <v>899.38499999999988</v>
      </c>
      <c r="J15" s="50">
        <f>1.22*1058.1</f>
        <v>1290.8819999999998</v>
      </c>
      <c r="K15" s="50">
        <f>1.579*1058.1</f>
        <v>1670.7398999999998</v>
      </c>
      <c r="O15" s="45" t="s">
        <v>95</v>
      </c>
      <c r="P15" s="43" t="s">
        <v>94</v>
      </c>
      <c r="Q15" s="44">
        <v>1301</v>
      </c>
      <c r="R15" s="44">
        <v>1859</v>
      </c>
      <c r="S15" s="44">
        <v>2325</v>
      </c>
    </row>
    <row r="16" spans="3:19" ht="18" thickBot="1" x14ac:dyDescent="0.25">
      <c r="C16" s="38" t="s">
        <v>93</v>
      </c>
      <c r="D16" s="37">
        <v>1.0169999999999999</v>
      </c>
      <c r="E16" s="37">
        <v>1.4530000000000001</v>
      </c>
      <c r="F16" s="37">
        <v>1.8169999999999999</v>
      </c>
      <c r="G16" s="36"/>
      <c r="H16" s="49" t="s">
        <v>93</v>
      </c>
      <c r="I16" s="50">
        <f>1.017*1058.1</f>
        <v>1076.0876999999998</v>
      </c>
      <c r="J16" s="50">
        <f>1.453*1058.1</f>
        <v>1537.4193</v>
      </c>
      <c r="K16" s="50">
        <f>1.817*1058.1</f>
        <v>1922.5676999999998</v>
      </c>
      <c r="O16" s="45" t="s">
        <v>96</v>
      </c>
      <c r="P16" s="43" t="s">
        <v>95</v>
      </c>
      <c r="Q16" s="44">
        <v>1624</v>
      </c>
      <c r="R16" s="44">
        <v>2321</v>
      </c>
      <c r="S16" s="44">
        <v>2902</v>
      </c>
    </row>
    <row r="17" spans="3:19" ht="18" thickBot="1" x14ac:dyDescent="0.25">
      <c r="C17" s="38" t="s">
        <v>94</v>
      </c>
      <c r="D17" s="37">
        <v>1.23</v>
      </c>
      <c r="E17" s="37">
        <v>1.7569999999999999</v>
      </c>
      <c r="F17" s="37">
        <v>2.1970000000000001</v>
      </c>
      <c r="G17" s="36"/>
      <c r="H17" s="49" t="s">
        <v>94</v>
      </c>
      <c r="I17" s="50">
        <f>1.23*1058.1</f>
        <v>1301.463</v>
      </c>
      <c r="J17" s="50">
        <f>1.757*1058.1</f>
        <v>1859.0816999999997</v>
      </c>
      <c r="K17" s="50">
        <f>2.197*1058.1</f>
        <v>2324.6457</v>
      </c>
      <c r="O17" s="45" t="s">
        <v>97</v>
      </c>
      <c r="P17" s="43" t="s">
        <v>96</v>
      </c>
      <c r="Q17" s="44">
        <v>2022</v>
      </c>
      <c r="R17" s="44">
        <v>2889</v>
      </c>
      <c r="S17" s="44">
        <v>3466</v>
      </c>
    </row>
    <row r="18" spans="3:19" ht="18" thickBot="1" x14ac:dyDescent="0.25">
      <c r="C18" s="38" t="s">
        <v>95</v>
      </c>
      <c r="D18" s="37">
        <v>1.5349999999999999</v>
      </c>
      <c r="E18" s="37">
        <v>2.194</v>
      </c>
      <c r="F18" s="37">
        <v>2.7429999999999999</v>
      </c>
      <c r="G18" s="36"/>
      <c r="H18" s="49" t="s">
        <v>95</v>
      </c>
      <c r="I18" s="50">
        <f>1.535*1058.1</f>
        <v>1624.1834999999999</v>
      </c>
      <c r="J18" s="50">
        <f>2.194*1058.1</f>
        <v>2321.4713999999999</v>
      </c>
      <c r="K18" s="50">
        <f>2.743*1058.1</f>
        <v>2902.3682999999996</v>
      </c>
      <c r="O18" s="45" t="s">
        <v>98</v>
      </c>
      <c r="P18" s="43" t="s">
        <v>97</v>
      </c>
      <c r="Q18" s="44">
        <v>2507</v>
      </c>
      <c r="R18" s="44">
        <v>3582</v>
      </c>
      <c r="S18" s="44">
        <v>4298</v>
      </c>
    </row>
    <row r="19" spans="3:19" ht="18" thickBot="1" x14ac:dyDescent="0.25">
      <c r="C19" s="38" t="s">
        <v>96</v>
      </c>
      <c r="D19" s="37">
        <v>1.911</v>
      </c>
      <c r="E19" s="37">
        <v>2.73</v>
      </c>
      <c r="F19" s="37">
        <v>3.2759999999999998</v>
      </c>
      <c r="G19" s="36"/>
      <c r="H19" s="49" t="s">
        <v>96</v>
      </c>
      <c r="I19" s="50">
        <f>1.911*1058.1</f>
        <v>2022.0291</v>
      </c>
      <c r="J19" s="50">
        <f>2.73*1058.1</f>
        <v>2888.6129999999998</v>
      </c>
      <c r="K19" s="50">
        <f>3.276*1058.1</f>
        <v>3466.3355999999994</v>
      </c>
      <c r="O19" s="45" t="s">
        <v>99</v>
      </c>
      <c r="P19" s="43" t="s">
        <v>98</v>
      </c>
      <c r="Q19" s="44">
        <v>3001</v>
      </c>
      <c r="R19" s="44">
        <v>4285</v>
      </c>
      <c r="S19" s="44">
        <v>5142</v>
      </c>
    </row>
    <row r="20" spans="3:19" ht="18" thickBot="1" x14ac:dyDescent="0.25">
      <c r="C20" s="38" t="s">
        <v>97</v>
      </c>
      <c r="D20" s="37">
        <v>2.3690000000000002</v>
      </c>
      <c r="E20" s="37">
        <v>3.3849999999999998</v>
      </c>
      <c r="F20" s="37">
        <v>4.0620000000000003</v>
      </c>
      <c r="G20" s="36"/>
      <c r="H20" s="49" t="s">
        <v>97</v>
      </c>
      <c r="I20" s="50">
        <f>2.369*1058.1</f>
        <v>2506.6388999999999</v>
      </c>
      <c r="J20" s="50">
        <f>3.385*1058.1</f>
        <v>3581.6684999999993</v>
      </c>
      <c r="K20" s="50">
        <f>4.062*1058.1</f>
        <v>4298.0021999999999</v>
      </c>
      <c r="O20" s="45" t="s">
        <v>100</v>
      </c>
      <c r="P20" s="43" t="s">
        <v>99</v>
      </c>
      <c r="Q20" s="44">
        <v>3380</v>
      </c>
      <c r="R20" s="44">
        <v>4827</v>
      </c>
      <c r="S20" s="44">
        <v>5793</v>
      </c>
    </row>
    <row r="21" spans="3:19" ht="18" thickBot="1" x14ac:dyDescent="0.25">
      <c r="C21" s="38" t="s">
        <v>98</v>
      </c>
      <c r="D21" s="37">
        <v>2.8359999999999999</v>
      </c>
      <c r="E21" s="37">
        <v>4.05</v>
      </c>
      <c r="F21" s="37">
        <v>4.8600000000000003</v>
      </c>
      <c r="G21" s="36"/>
      <c r="H21" s="49" t="s">
        <v>98</v>
      </c>
      <c r="I21" s="50">
        <f>2.836*1058.1</f>
        <v>3000.7715999999996</v>
      </c>
      <c r="J21" s="50">
        <f>4.05*1058.1</f>
        <v>4285.3049999999994</v>
      </c>
      <c r="K21" s="50">
        <f>4.86*1058.1</f>
        <v>5142.366</v>
      </c>
      <c r="O21" s="42" t="s">
        <v>113</v>
      </c>
      <c r="P21" s="43" t="s">
        <v>100</v>
      </c>
      <c r="Q21" s="44">
        <v>3550</v>
      </c>
      <c r="R21" s="44">
        <v>5071</v>
      </c>
      <c r="S21" s="44">
        <v>6085</v>
      </c>
    </row>
    <row r="22" spans="3:19" ht="18" thickBot="1" x14ac:dyDescent="0.25">
      <c r="C22" s="38" t="s">
        <v>99</v>
      </c>
      <c r="D22" s="37">
        <v>3.194</v>
      </c>
      <c r="E22" s="37">
        <v>4.5620000000000003</v>
      </c>
      <c r="F22" s="37">
        <v>5.4749999999999996</v>
      </c>
      <c r="G22" s="36"/>
      <c r="H22" s="49" t="s">
        <v>99</v>
      </c>
      <c r="I22" s="50">
        <f>3.194*1058.1</f>
        <v>3379.5713999999998</v>
      </c>
      <c r="J22" s="50">
        <f>4.562*1058.1</f>
        <v>4827.0522000000001</v>
      </c>
      <c r="K22" s="50">
        <f>5.475*1058.1</f>
        <v>5793.0974999999989</v>
      </c>
      <c r="O22" s="42" t="s">
        <v>114</v>
      </c>
      <c r="P22" s="43" t="s">
        <v>104</v>
      </c>
      <c r="Q22" s="44">
        <v>3898</v>
      </c>
      <c r="R22" s="44">
        <v>5569</v>
      </c>
      <c r="S22" s="44">
        <v>6403</v>
      </c>
    </row>
    <row r="23" spans="3:19" ht="18" thickBot="1" x14ac:dyDescent="0.25">
      <c r="C23" s="38" t="s">
        <v>100</v>
      </c>
      <c r="D23" s="37">
        <v>3.355</v>
      </c>
      <c r="E23" s="37">
        <v>4.7930000000000001</v>
      </c>
      <c r="F23" s="37">
        <v>5.7510000000000003</v>
      </c>
      <c r="G23" s="36"/>
      <c r="H23" s="49" t="s">
        <v>100</v>
      </c>
      <c r="I23" s="50">
        <f>3.355*1058.1</f>
        <v>3549.9254999999998</v>
      </c>
      <c r="J23" s="50">
        <f>4.793*1058.1</f>
        <v>5071.4732999999997</v>
      </c>
      <c r="K23" s="50">
        <f>5.751*1058.1</f>
        <v>6085.1331</v>
      </c>
    </row>
    <row r="24" spans="3:19" ht="18" thickBot="1" x14ac:dyDescent="0.25">
      <c r="C24" s="38" t="s">
        <v>104</v>
      </c>
      <c r="D24" s="37">
        <v>3.6840000000000002</v>
      </c>
      <c r="E24" s="37">
        <v>5.2629999999999999</v>
      </c>
      <c r="F24" s="37">
        <v>6.0510000000000002</v>
      </c>
      <c r="G24" s="36"/>
      <c r="H24" s="49" t="s">
        <v>104</v>
      </c>
      <c r="I24" s="50">
        <f>3.684*1058.1</f>
        <v>3898.0403999999999</v>
      </c>
      <c r="J24" s="50">
        <f>5.263*1058.1</f>
        <v>5568.7802999999994</v>
      </c>
      <c r="K24" s="50">
        <f>6.051*1058.1</f>
        <v>6402.5630999999994</v>
      </c>
    </row>
    <row r="25" spans="3:19" x14ac:dyDescent="0.2">
      <c r="H25" s="47"/>
      <c r="I25" s="47"/>
      <c r="J25" s="47"/>
      <c r="K25" s="47"/>
    </row>
    <row r="26" spans="3:19" x14ac:dyDescent="0.2">
      <c r="H26" s="46" t="s">
        <v>106</v>
      </c>
      <c r="I26" s="47"/>
      <c r="J26" s="47"/>
      <c r="K26" s="47"/>
    </row>
    <row r="27" spans="3:19" x14ac:dyDescent="0.2">
      <c r="H27" s="47"/>
      <c r="I27" s="47"/>
      <c r="J27" s="47"/>
      <c r="K27" s="47"/>
    </row>
    <row r="28" spans="3:19" x14ac:dyDescent="0.2">
      <c r="H28" s="47"/>
      <c r="I28" s="47"/>
      <c r="J28" s="47"/>
      <c r="K28" s="47"/>
    </row>
  </sheetData>
  <mergeCells count="8">
    <mergeCell ref="H3:K3"/>
    <mergeCell ref="C5:C7"/>
    <mergeCell ref="D5:F5"/>
    <mergeCell ref="D6:F6"/>
    <mergeCell ref="G5:G6"/>
    <mergeCell ref="H5:H7"/>
    <mergeCell ref="I5:K5"/>
    <mergeCell ref="I6:K6"/>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D688-61A2-444A-83A1-6D5057AA4463}">
  <dimension ref="B2:M21"/>
  <sheetViews>
    <sheetView workbookViewId="0">
      <selection activeCell="H15" sqref="H15"/>
    </sheetView>
  </sheetViews>
  <sheetFormatPr baseColWidth="10" defaultColWidth="8.83203125" defaultRowHeight="15" x14ac:dyDescent="0.2"/>
  <sheetData>
    <row r="2" spans="2:13" x14ac:dyDescent="0.2">
      <c r="L2">
        <v>1058.0999999999999</v>
      </c>
    </row>
    <row r="3" spans="2:13" ht="16" thickBot="1" x14ac:dyDescent="0.25"/>
    <row r="4" spans="2:13" ht="20.5" customHeight="1" thickBot="1" x14ac:dyDescent="0.25">
      <c r="B4" s="32" t="s">
        <v>78</v>
      </c>
      <c r="C4" s="106" t="s">
        <v>80</v>
      </c>
      <c r="D4" s="108" t="s">
        <v>81</v>
      </c>
      <c r="E4" s="109"/>
      <c r="F4" s="110"/>
      <c r="I4" s="32" t="s">
        <v>78</v>
      </c>
      <c r="J4" s="106" t="s">
        <v>80</v>
      </c>
      <c r="K4" s="108" t="s">
        <v>81</v>
      </c>
      <c r="L4" s="109"/>
      <c r="M4" s="110"/>
    </row>
    <row r="5" spans="2:13" ht="16" thickBot="1" x14ac:dyDescent="0.25">
      <c r="B5" s="33" t="s">
        <v>79</v>
      </c>
      <c r="C5" s="107"/>
      <c r="D5" s="34" t="s">
        <v>82</v>
      </c>
      <c r="E5" s="34" t="s">
        <v>83</v>
      </c>
      <c r="F5" s="34" t="s">
        <v>84</v>
      </c>
      <c r="I5" s="33" t="s">
        <v>79</v>
      </c>
      <c r="J5" s="107"/>
      <c r="K5" s="34" t="s">
        <v>82</v>
      </c>
      <c r="L5" s="34" t="s">
        <v>83</v>
      </c>
      <c r="M5" s="34" t="s">
        <v>84</v>
      </c>
    </row>
    <row r="6" spans="2:13" ht="16" thickBot="1" x14ac:dyDescent="0.25">
      <c r="B6" s="34" t="s">
        <v>85</v>
      </c>
      <c r="C6" s="34">
        <v>16</v>
      </c>
      <c r="D6" s="34">
        <v>3.0350000000000001</v>
      </c>
      <c r="E6" s="34">
        <v>4.3360000000000003</v>
      </c>
      <c r="F6" s="34">
        <v>4.55</v>
      </c>
      <c r="I6" s="34" t="s">
        <v>85</v>
      </c>
      <c r="J6" s="34">
        <v>16</v>
      </c>
      <c r="K6" s="35">
        <f>D6*L2</f>
        <v>3211.3334999999997</v>
      </c>
      <c r="L6" s="35">
        <f>E6*L2</f>
        <v>4587.9215999999997</v>
      </c>
      <c r="M6" s="35">
        <f>F6*L2</f>
        <v>4814.3549999999996</v>
      </c>
    </row>
    <row r="7" spans="2:13" ht="16" thickBot="1" x14ac:dyDescent="0.25">
      <c r="B7" s="34" t="s">
        <v>86</v>
      </c>
      <c r="C7" s="34">
        <v>15</v>
      </c>
      <c r="D7" s="34">
        <v>2.8359999999999999</v>
      </c>
      <c r="E7" s="34">
        <v>4.05</v>
      </c>
      <c r="F7" s="34">
        <v>4.3540000000000001</v>
      </c>
      <c r="I7" s="34" t="s">
        <v>86</v>
      </c>
      <c r="J7" s="34">
        <v>15</v>
      </c>
      <c r="K7" s="35">
        <f>D7*L2</f>
        <v>3000.7715999999996</v>
      </c>
      <c r="L7" s="35">
        <f>E7*L2</f>
        <v>4285.3049999999994</v>
      </c>
      <c r="M7" s="35">
        <f>F7*L2</f>
        <v>4606.9673999999995</v>
      </c>
    </row>
    <row r="8" spans="2:13" ht="16" thickBot="1" x14ac:dyDescent="0.25">
      <c r="B8" s="34" t="s">
        <v>87</v>
      </c>
      <c r="C8" s="34">
        <v>14</v>
      </c>
      <c r="D8" s="34">
        <v>2.3690000000000002</v>
      </c>
      <c r="E8" s="34">
        <v>3.3849999999999998</v>
      </c>
      <c r="F8" s="34">
        <v>4.0620000000000003</v>
      </c>
      <c r="I8" s="34" t="s">
        <v>87</v>
      </c>
      <c r="J8" s="34">
        <v>14</v>
      </c>
      <c r="K8" s="35">
        <f>D8*L2</f>
        <v>2506.6388999999999</v>
      </c>
      <c r="L8" s="35">
        <f>E8*L2</f>
        <v>3581.6684999999993</v>
      </c>
      <c r="M8" s="35">
        <f>F8*L2</f>
        <v>4298.0021999999999</v>
      </c>
    </row>
    <row r="9" spans="2:13" ht="16" thickBot="1" x14ac:dyDescent="0.25">
      <c r="B9" s="34" t="s">
        <v>88</v>
      </c>
      <c r="C9" s="34">
        <v>13</v>
      </c>
      <c r="D9" s="34">
        <v>1.911</v>
      </c>
      <c r="E9" s="34">
        <v>2.73</v>
      </c>
      <c r="F9" s="34">
        <v>3.2759999999999998</v>
      </c>
      <c r="I9" s="34" t="s">
        <v>88</v>
      </c>
      <c r="J9" s="34">
        <v>13</v>
      </c>
      <c r="K9" s="35">
        <f>D9*L2</f>
        <v>2022.0291</v>
      </c>
      <c r="L9" s="35">
        <f>E9*L2</f>
        <v>2888.6129999999998</v>
      </c>
      <c r="M9" s="35">
        <f>F9*L2</f>
        <v>3466.3355999999994</v>
      </c>
    </row>
    <row r="10" spans="2:13" ht="16" thickBot="1" x14ac:dyDescent="0.25">
      <c r="B10" s="34" t="s">
        <v>89</v>
      </c>
      <c r="C10" s="34">
        <v>12</v>
      </c>
      <c r="D10" s="34">
        <v>1.5349999999999999</v>
      </c>
      <c r="E10" s="34">
        <v>2.194</v>
      </c>
      <c r="F10" s="34">
        <v>2.7429999999999999</v>
      </c>
      <c r="I10" s="34" t="s">
        <v>89</v>
      </c>
      <c r="J10" s="34">
        <v>12</v>
      </c>
      <c r="K10" s="35">
        <f>D10*L2</f>
        <v>1624.1834999999999</v>
      </c>
      <c r="L10" s="35">
        <f>E10*L2</f>
        <v>2321.4713999999999</v>
      </c>
      <c r="M10" s="35">
        <f>F10*L2</f>
        <v>2902.3682999999996</v>
      </c>
    </row>
    <row r="11" spans="2:13" ht="16" thickBot="1" x14ac:dyDescent="0.25">
      <c r="B11" s="34" t="s">
        <v>90</v>
      </c>
      <c r="C11" s="34">
        <v>11</v>
      </c>
      <c r="D11" s="34">
        <v>1.23</v>
      </c>
      <c r="E11" s="34">
        <v>1.7569999999999999</v>
      </c>
      <c r="F11" s="34">
        <v>2.1970000000000001</v>
      </c>
      <c r="I11" s="34" t="s">
        <v>90</v>
      </c>
      <c r="J11" s="34">
        <v>11</v>
      </c>
      <c r="K11" s="35">
        <f>D11*L2</f>
        <v>1301.463</v>
      </c>
      <c r="L11" s="35">
        <f>E11*L2</f>
        <v>1859.0816999999997</v>
      </c>
      <c r="M11" s="35">
        <f>F11*L2</f>
        <v>2324.6457</v>
      </c>
    </row>
    <row r="12" spans="2:13" ht="16" thickBot="1" x14ac:dyDescent="0.25">
      <c r="B12" s="34" t="s">
        <v>91</v>
      </c>
      <c r="C12" s="34">
        <v>10</v>
      </c>
      <c r="D12" s="34">
        <v>1.0169999999999999</v>
      </c>
      <c r="E12" s="34">
        <v>1.4530000000000001</v>
      </c>
      <c r="F12" s="34">
        <v>1.8169999999999999</v>
      </c>
      <c r="I12" s="34" t="s">
        <v>91</v>
      </c>
      <c r="J12" s="34">
        <v>10</v>
      </c>
      <c r="K12" s="35">
        <f>D12*L2</f>
        <v>1076.0876999999998</v>
      </c>
      <c r="L12" s="35">
        <f>E12*L2</f>
        <v>1537.4193</v>
      </c>
      <c r="M12" s="35">
        <f>F12*L2</f>
        <v>1922.5676999999998</v>
      </c>
    </row>
    <row r="13" spans="2:13" ht="16" thickBot="1" x14ac:dyDescent="0.25">
      <c r="B13" s="34" t="s">
        <v>92</v>
      </c>
      <c r="C13" s="34">
        <v>9</v>
      </c>
      <c r="D13" s="34">
        <v>0.85</v>
      </c>
      <c r="E13" s="34">
        <v>1.2150000000000001</v>
      </c>
      <c r="F13" s="34">
        <v>1.579</v>
      </c>
      <c r="I13" s="34" t="s">
        <v>92</v>
      </c>
      <c r="J13" s="34">
        <v>9</v>
      </c>
      <c r="K13" s="35">
        <f>D13*L2</f>
        <v>899.38499999999988</v>
      </c>
      <c r="L13" s="35">
        <f>E13*L2</f>
        <v>1285.5915</v>
      </c>
      <c r="M13" s="35">
        <f>F13*L2</f>
        <v>1670.7398999999998</v>
      </c>
    </row>
    <row r="14" spans="2:13" ht="16" thickBot="1" x14ac:dyDescent="0.25">
      <c r="B14" s="34" t="s">
        <v>93</v>
      </c>
      <c r="C14" s="34">
        <v>8</v>
      </c>
      <c r="D14" s="34">
        <v>0.79600000000000004</v>
      </c>
      <c r="E14" s="34">
        <v>1.137</v>
      </c>
      <c r="F14" s="34">
        <v>1.4790000000000001</v>
      </c>
      <c r="I14" s="34" t="s">
        <v>93</v>
      </c>
      <c r="J14" s="34">
        <v>8</v>
      </c>
      <c r="K14" s="35">
        <f>D14*L2</f>
        <v>842.24759999999992</v>
      </c>
      <c r="L14" s="35">
        <f>E14*L2</f>
        <v>1203.0597</v>
      </c>
      <c r="M14" s="35">
        <f>F14*L2</f>
        <v>1564.9298999999999</v>
      </c>
    </row>
    <row r="15" spans="2:13" ht="16" thickBot="1" x14ac:dyDescent="0.25">
      <c r="B15" s="34" t="s">
        <v>94</v>
      </c>
      <c r="C15" s="34">
        <v>7</v>
      </c>
      <c r="D15" s="34">
        <v>0.66600000000000004</v>
      </c>
      <c r="E15" s="34">
        <v>0.95</v>
      </c>
      <c r="F15" s="34">
        <v>1.236</v>
      </c>
      <c r="I15" s="34" t="s">
        <v>94</v>
      </c>
      <c r="J15" s="34">
        <v>7</v>
      </c>
      <c r="K15" s="35">
        <f>D15*L2</f>
        <v>704.69459999999992</v>
      </c>
      <c r="L15" s="35">
        <f>E15*L2</f>
        <v>1005.1949999999998</v>
      </c>
      <c r="M15" s="35">
        <f>F15*L2</f>
        <v>1307.8115999999998</v>
      </c>
    </row>
    <row r="16" spans="2:13" ht="16" thickBot="1" x14ac:dyDescent="0.25">
      <c r="B16" s="34" t="s">
        <v>95</v>
      </c>
      <c r="C16" s="34">
        <v>6</v>
      </c>
      <c r="D16" s="34">
        <v>0.623</v>
      </c>
      <c r="E16" s="34">
        <v>0.89</v>
      </c>
      <c r="F16" s="34">
        <v>1.1559999999999999</v>
      </c>
      <c r="I16" s="34" t="s">
        <v>95</v>
      </c>
      <c r="J16" s="34">
        <v>6</v>
      </c>
      <c r="K16" s="35">
        <f>D16*L2</f>
        <v>659.19629999999995</v>
      </c>
      <c r="L16" s="35">
        <f>E16*L2</f>
        <v>941.70899999999995</v>
      </c>
      <c r="M16" s="35">
        <f>F16*L2</f>
        <v>1223.1635999999999</v>
      </c>
    </row>
    <row r="17" spans="2:13" ht="16" thickBot="1" x14ac:dyDescent="0.25">
      <c r="B17" s="34" t="s">
        <v>96</v>
      </c>
      <c r="C17" s="34">
        <v>5</v>
      </c>
      <c r="D17" s="34">
        <v>0.58199999999999996</v>
      </c>
      <c r="E17" s="34">
        <v>0.83199999999999996</v>
      </c>
      <c r="F17" s="34">
        <v>1.08</v>
      </c>
      <c r="I17" s="34" t="s">
        <v>96</v>
      </c>
      <c r="J17" s="34">
        <v>5</v>
      </c>
      <c r="K17" s="35">
        <f>D17*L2</f>
        <v>615.81419999999991</v>
      </c>
      <c r="L17" s="35">
        <f>E17*L2</f>
        <v>880.33919999999989</v>
      </c>
      <c r="M17" s="35">
        <f>F17*L2</f>
        <v>1142.748</v>
      </c>
    </row>
    <row r="18" spans="2:13" ht="16" thickBot="1" x14ac:dyDescent="0.25">
      <c r="B18" s="34" t="s">
        <v>97</v>
      </c>
      <c r="C18" s="34">
        <v>4</v>
      </c>
      <c r="D18" s="34">
        <v>0.56999999999999995</v>
      </c>
      <c r="E18" s="34">
        <v>0.81399999999999995</v>
      </c>
      <c r="F18" s="34">
        <v>1.0589999999999999</v>
      </c>
      <c r="I18" s="34" t="s">
        <v>97</v>
      </c>
      <c r="J18" s="34">
        <v>4</v>
      </c>
      <c r="K18" s="35">
        <f>D18*L2</f>
        <v>603.11699999999985</v>
      </c>
      <c r="L18" s="35">
        <f>E18*L2</f>
        <v>861.29339999999991</v>
      </c>
      <c r="M18" s="35">
        <f>F18*L2</f>
        <v>1120.5278999999998</v>
      </c>
    </row>
    <row r="19" spans="2:13" ht="16" thickBot="1" x14ac:dyDescent="0.25">
      <c r="B19" s="34" t="s">
        <v>98</v>
      </c>
      <c r="C19" s="34">
        <v>3</v>
      </c>
      <c r="D19" s="34">
        <v>0.441</v>
      </c>
      <c r="E19" s="34">
        <v>0.59199999999999997</v>
      </c>
      <c r="F19" s="34">
        <v>0.76900000000000002</v>
      </c>
      <c r="I19" s="34" t="s">
        <v>98</v>
      </c>
      <c r="J19" s="34">
        <v>3</v>
      </c>
      <c r="K19" s="35">
        <f>D19*L2</f>
        <v>466.62209999999999</v>
      </c>
      <c r="L19" s="35">
        <f>E19*L2</f>
        <v>626.39519999999993</v>
      </c>
      <c r="M19" s="35">
        <f>F19*L2</f>
        <v>813.6789</v>
      </c>
    </row>
    <row r="20" spans="2:13" ht="16" thickBot="1" x14ac:dyDescent="0.25">
      <c r="B20" s="34" t="s">
        <v>99</v>
      </c>
      <c r="C20" s="34">
        <v>2</v>
      </c>
      <c r="D20" s="34">
        <v>0.441</v>
      </c>
      <c r="E20" s="34">
        <v>0.58099999999999996</v>
      </c>
      <c r="F20" s="34">
        <v>0.755</v>
      </c>
      <c r="I20" s="34" t="s">
        <v>99</v>
      </c>
      <c r="J20" s="34">
        <v>2</v>
      </c>
      <c r="K20" s="35">
        <f>D20*L2</f>
        <v>466.62209999999999</v>
      </c>
      <c r="L20" s="35">
        <f>E20*L2</f>
        <v>614.75609999999995</v>
      </c>
      <c r="M20" s="35">
        <f>F20*L2</f>
        <v>798.86549999999988</v>
      </c>
    </row>
    <row r="21" spans="2:13" ht="16" thickBot="1" x14ac:dyDescent="0.25">
      <c r="B21" s="34" t="s">
        <v>100</v>
      </c>
      <c r="C21" s="34">
        <v>1</v>
      </c>
      <c r="D21" s="34">
        <v>0.441</v>
      </c>
      <c r="E21" s="34">
        <v>0.56200000000000006</v>
      </c>
      <c r="F21" s="34">
        <v>0.73099999999999998</v>
      </c>
      <c r="I21" s="34" t="s">
        <v>100</v>
      </c>
      <c r="J21" s="34">
        <v>1</v>
      </c>
      <c r="K21" s="35">
        <f>D21*L2</f>
        <v>466.62209999999999</v>
      </c>
      <c r="L21" s="35">
        <f>E21*L2</f>
        <v>594.65219999999999</v>
      </c>
      <c r="M21" s="35">
        <f>F21*L2</f>
        <v>773.47109999999986</v>
      </c>
    </row>
  </sheetData>
  <mergeCells count="4">
    <mergeCell ref="C4:C5"/>
    <mergeCell ref="D4:F4"/>
    <mergeCell ref="J4:J5"/>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kopējais</vt:lpstr>
      <vt:lpstr>pa amatiem</vt:lpstr>
      <vt:lpstr>Sheet1</vt:lpstr>
      <vt:lpstr>7 pakāpes, mix % solis </vt:lpstr>
      <vt:lpstr>9 pakāpes, 10 % solis</vt:lpstr>
      <vt:lpstr>11 pakāpes, 5 % solis</vt:lpstr>
      <vt:lpstr>MAG skala no 01.07.2022.</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Katri Vintisa</cp:lastModifiedBy>
  <cp:lastPrinted>2021-01-04T11:39:44Z</cp:lastPrinted>
  <dcterms:created xsi:type="dcterms:W3CDTF">2019-03-27T09:42:11Z</dcterms:created>
  <dcterms:modified xsi:type="dcterms:W3CDTF">2022-06-16T07:59:11Z</dcterms:modified>
</cp:coreProperties>
</file>